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3_ncr:1_{C9B4CD81-B804-461C-B9F9-B3B6991FDF96}" xr6:coauthVersionLast="46" xr6:coauthVersionMax="46" xr10:uidLastSave="{00000000-0000-0000-0000-000000000000}"/>
  <bookViews>
    <workbookView xWindow="28680" yWindow="-90" windowWidth="29040" windowHeight="16440" xr2:uid="{00000000-000D-0000-FFFF-FFFF00000000}"/>
  </bookViews>
  <sheets>
    <sheet name="Electric Deferral" sheetId="6" r:id="rId1"/>
    <sheet name="Acerno_Cache_XXXXX" sheetId="10" state="veryHidden" r:id="rId2"/>
    <sheet name="Natural Gas Deferral" sheetId="8" r:id="rId3"/>
    <sheet name="Natural Gas by Schedule" sheetId="9" state="hidden" r:id="rId4"/>
    <sheet name="Accounting Balances" sheetId="3" r:id="rId5"/>
    <sheet name="Notes" sheetId="4" r:id="rId6"/>
  </sheets>
  <definedNames>
    <definedName name="_xlnm.Print_Area" localSheetId="4">'Accounting Balances'!$A$1:$G$199</definedName>
    <definedName name="_xlnm.Print_Area" localSheetId="0">'Electric Deferral'!$A$1:$U$104</definedName>
    <definedName name="_xlnm.Print_Area" localSheetId="2">'Natural Gas Deferral'!$A$1:$U$106</definedName>
    <definedName name="_xlnm.Print_Area" localSheetId="5">Notes!$A$1:$K$30</definedName>
    <definedName name="_xlnm.Print_Titles" localSheetId="0">'Electric Deferral'!$1:$8</definedName>
    <definedName name="_xlnm.Print_Titles" localSheetId="3">'Natural Gas by Schedule'!$1:$8</definedName>
    <definedName name="_xlnm.Print_Titles" localSheetId="2">'Natural Gas Deferral'!$1:$8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6" l="1"/>
  <c r="I17" i="6" l="1"/>
  <c r="R11" i="8" l="1"/>
  <c r="U11" i="8"/>
  <c r="O83" i="8" l="1"/>
  <c r="O34" i="8"/>
  <c r="G108" i="8"/>
  <c r="H108" i="8" s="1"/>
  <c r="I108" i="8" s="1"/>
  <c r="J108" i="8" s="1"/>
  <c r="K108" i="8" s="1"/>
  <c r="L108" i="8" s="1"/>
  <c r="M108" i="8" s="1"/>
  <c r="N108" i="8" s="1"/>
  <c r="O108" i="8" s="1"/>
  <c r="E108" i="8"/>
  <c r="Q60" i="8"/>
  <c r="R60" i="8"/>
  <c r="S60" i="8"/>
  <c r="T60" i="8"/>
  <c r="U60" i="8"/>
  <c r="Q61" i="8"/>
  <c r="R61" i="8"/>
  <c r="S61" i="8"/>
  <c r="T61" i="8"/>
  <c r="U61" i="8"/>
  <c r="Q62" i="8"/>
  <c r="R62" i="8"/>
  <c r="S62" i="8"/>
  <c r="T62" i="8"/>
  <c r="U62" i="8"/>
  <c r="Q63" i="8"/>
  <c r="R63" i="8"/>
  <c r="S63" i="8"/>
  <c r="T63" i="8"/>
  <c r="U63" i="8"/>
  <c r="Q81" i="8"/>
  <c r="R81" i="8"/>
  <c r="S81" i="8"/>
  <c r="T81" i="8"/>
  <c r="U81" i="8"/>
  <c r="Q85" i="8"/>
  <c r="R85" i="8"/>
  <c r="S85" i="8"/>
  <c r="T85" i="8"/>
  <c r="U85" i="8"/>
  <c r="Q86" i="8"/>
  <c r="Q71" i="8" s="1"/>
  <c r="R86" i="8"/>
  <c r="S86" i="8"/>
  <c r="T86" i="8"/>
  <c r="U86" i="8"/>
  <c r="Q87" i="8"/>
  <c r="R87" i="8"/>
  <c r="S87" i="8"/>
  <c r="T87" i="8"/>
  <c r="U87" i="8"/>
  <c r="C105" i="8"/>
  <c r="C99" i="8"/>
  <c r="B99" i="8"/>
  <c r="J98" i="8"/>
  <c r="D98" i="8"/>
  <c r="C98" i="8"/>
  <c r="C97" i="8"/>
  <c r="B97" i="8"/>
  <c r="B94" i="8"/>
  <c r="B92" i="8"/>
  <c r="F91" i="8"/>
  <c r="F92" i="8" s="1"/>
  <c r="F93" i="8" s="1"/>
  <c r="B91" i="8"/>
  <c r="G90" i="8"/>
  <c r="H90" i="8" s="1"/>
  <c r="E90" i="8"/>
  <c r="E91" i="8" s="1"/>
  <c r="B90" i="8"/>
  <c r="D91" i="8"/>
  <c r="D92" i="8" s="1"/>
  <c r="D93" i="8" s="1"/>
  <c r="C87" i="8"/>
  <c r="B87" i="8"/>
  <c r="C86" i="8"/>
  <c r="B86" i="8"/>
  <c r="C85" i="8"/>
  <c r="B85" i="8"/>
  <c r="B83" i="8"/>
  <c r="N83" i="8"/>
  <c r="M83" i="8"/>
  <c r="K83" i="8"/>
  <c r="J83" i="8"/>
  <c r="H83" i="8"/>
  <c r="G83" i="8"/>
  <c r="F83" i="8"/>
  <c r="E83" i="8"/>
  <c r="D83" i="8"/>
  <c r="C82" i="8"/>
  <c r="B82" i="8"/>
  <c r="L83" i="8"/>
  <c r="I83" i="8"/>
  <c r="C81" i="8"/>
  <c r="B81" i="8"/>
  <c r="B80" i="8"/>
  <c r="B77" i="8"/>
  <c r="B75" i="8"/>
  <c r="N72" i="8"/>
  <c r="H72" i="8"/>
  <c r="F72" i="8"/>
  <c r="B72" i="8"/>
  <c r="N71" i="8"/>
  <c r="L71" i="8"/>
  <c r="F71" i="8"/>
  <c r="D71" i="8"/>
  <c r="B71" i="8"/>
  <c r="L70" i="8"/>
  <c r="J70" i="8"/>
  <c r="D70" i="8"/>
  <c r="B70" i="8"/>
  <c r="B68" i="8"/>
  <c r="C67" i="8"/>
  <c r="B67" i="8"/>
  <c r="N66" i="8"/>
  <c r="L66" i="8"/>
  <c r="L68" i="8" s="1"/>
  <c r="K66" i="8"/>
  <c r="K68" i="8" s="1"/>
  <c r="D66" i="8"/>
  <c r="B66" i="8"/>
  <c r="B65" i="8"/>
  <c r="O71" i="8"/>
  <c r="M71" i="8"/>
  <c r="K71" i="8"/>
  <c r="J71" i="8"/>
  <c r="I71" i="8"/>
  <c r="H71" i="8"/>
  <c r="G71" i="8"/>
  <c r="E71" i="8"/>
  <c r="O70" i="8"/>
  <c r="N70" i="8"/>
  <c r="N75" i="8" s="1"/>
  <c r="M70" i="8"/>
  <c r="K70" i="8"/>
  <c r="I70" i="8"/>
  <c r="H70" i="8"/>
  <c r="G70" i="8"/>
  <c r="F70" i="8"/>
  <c r="E70" i="8"/>
  <c r="E75" i="8" s="1"/>
  <c r="O72" i="8"/>
  <c r="M72" i="8"/>
  <c r="L72" i="8"/>
  <c r="K72" i="8"/>
  <c r="J72" i="8"/>
  <c r="I72" i="8"/>
  <c r="G72" i="8"/>
  <c r="E72" i="8"/>
  <c r="D72" i="8"/>
  <c r="O66" i="8"/>
  <c r="O68" i="8" s="1"/>
  <c r="M66" i="8"/>
  <c r="J66" i="8"/>
  <c r="J68" i="8" s="1"/>
  <c r="I66" i="8"/>
  <c r="I68" i="8" s="1"/>
  <c r="H66" i="8"/>
  <c r="G66" i="8"/>
  <c r="F66" i="8"/>
  <c r="E66" i="8"/>
  <c r="C53" i="8"/>
  <c r="C102" i="8" s="1"/>
  <c r="K49" i="8"/>
  <c r="K98" i="8" s="1"/>
  <c r="E49" i="8"/>
  <c r="E98" i="8" s="1"/>
  <c r="C47" i="8"/>
  <c r="C96" i="8" s="1"/>
  <c r="C45" i="8"/>
  <c r="C94" i="8" s="1"/>
  <c r="C43" i="8"/>
  <c r="C92" i="8" s="1"/>
  <c r="D42" i="8"/>
  <c r="D43" i="8" s="1"/>
  <c r="D44" i="8" s="1"/>
  <c r="C42" i="8"/>
  <c r="C91" i="8" s="1"/>
  <c r="G41" i="8"/>
  <c r="H41" i="8" s="1"/>
  <c r="E41" i="8"/>
  <c r="E42" i="8" s="1"/>
  <c r="E43" i="8" s="1"/>
  <c r="E44" i="8" s="1"/>
  <c r="F42" i="8"/>
  <c r="N34" i="8"/>
  <c r="M34" i="8"/>
  <c r="I34" i="8"/>
  <c r="G34" i="8"/>
  <c r="F34" i="8"/>
  <c r="E34" i="8"/>
  <c r="C34" i="8"/>
  <c r="C83" i="8" s="1"/>
  <c r="L34" i="8"/>
  <c r="K34" i="8"/>
  <c r="J34" i="8"/>
  <c r="D34" i="8"/>
  <c r="C28" i="8"/>
  <c r="C77" i="8" s="1"/>
  <c r="C26" i="8"/>
  <c r="C75" i="8" s="1"/>
  <c r="L23" i="8"/>
  <c r="J23" i="8"/>
  <c r="I23" i="8"/>
  <c r="D23" i="8"/>
  <c r="C23" i="8"/>
  <c r="C72" i="8" s="1"/>
  <c r="G22" i="8"/>
  <c r="C22" i="8"/>
  <c r="C71" i="8" s="1"/>
  <c r="N21" i="8"/>
  <c r="L21" i="8"/>
  <c r="F21" i="8"/>
  <c r="D21" i="8"/>
  <c r="C21" i="8"/>
  <c r="C70" i="8" s="1"/>
  <c r="C19" i="8"/>
  <c r="C68" i="8" s="1"/>
  <c r="L17" i="8"/>
  <c r="L19" i="8" s="1"/>
  <c r="I17" i="8"/>
  <c r="D17" i="8"/>
  <c r="D19" i="8" s="1"/>
  <c r="C17" i="8"/>
  <c r="C66" i="8" s="1"/>
  <c r="O22" i="8"/>
  <c r="N22" i="8"/>
  <c r="M22" i="8"/>
  <c r="L22" i="8"/>
  <c r="K22" i="8"/>
  <c r="J22" i="8"/>
  <c r="I22" i="8"/>
  <c r="H22" i="8"/>
  <c r="F22" i="8"/>
  <c r="E22" i="8"/>
  <c r="D22" i="8"/>
  <c r="O21" i="8"/>
  <c r="M21" i="8"/>
  <c r="K21" i="8"/>
  <c r="K26" i="8" s="1"/>
  <c r="J21" i="8"/>
  <c r="I21" i="8"/>
  <c r="H21" i="8"/>
  <c r="G21" i="8"/>
  <c r="E21" i="8"/>
  <c r="O23" i="8"/>
  <c r="N23" i="8"/>
  <c r="M23" i="8"/>
  <c r="K23" i="8"/>
  <c r="H23" i="8"/>
  <c r="G23" i="8"/>
  <c r="F23" i="8"/>
  <c r="E23" i="8"/>
  <c r="O17" i="8"/>
  <c r="O19" i="8" s="1"/>
  <c r="N17" i="8"/>
  <c r="N19" i="8" s="1"/>
  <c r="M17" i="8"/>
  <c r="K17" i="8"/>
  <c r="K19" i="8" s="1"/>
  <c r="J17" i="8"/>
  <c r="J19" i="8" s="1"/>
  <c r="G17" i="8"/>
  <c r="G19" i="8" s="1"/>
  <c r="F17" i="8"/>
  <c r="F19" i="8" s="1"/>
  <c r="E17" i="8"/>
  <c r="F49" i="8" l="1"/>
  <c r="R83" i="8"/>
  <c r="R82" i="8" s="1"/>
  <c r="D68" i="8"/>
  <c r="F94" i="8"/>
  <c r="E26" i="8"/>
  <c r="E27" i="8" s="1"/>
  <c r="U72" i="8"/>
  <c r="U73" i="8" s="1"/>
  <c r="G68" i="8"/>
  <c r="F75" i="8"/>
  <c r="F76" i="8" s="1"/>
  <c r="H68" i="8"/>
  <c r="R71" i="8"/>
  <c r="T83" i="8"/>
  <c r="T82" i="8" s="1"/>
  <c r="M68" i="8"/>
  <c r="N68" i="8"/>
  <c r="N77" i="8" s="1"/>
  <c r="E68" i="8"/>
  <c r="E77" i="8" s="1"/>
  <c r="F68" i="8"/>
  <c r="S83" i="8"/>
  <c r="S82" i="8" s="1"/>
  <c r="T72" i="8"/>
  <c r="S72" i="8"/>
  <c r="U70" i="8"/>
  <c r="Q72" i="8"/>
  <c r="U83" i="8"/>
  <c r="U82" i="8" s="1"/>
  <c r="N76" i="8"/>
  <c r="G75" i="8"/>
  <c r="G76" i="8" s="1"/>
  <c r="O75" i="8"/>
  <c r="U71" i="8"/>
  <c r="T70" i="8"/>
  <c r="R72" i="8"/>
  <c r="T71" i="8"/>
  <c r="R70" i="8"/>
  <c r="K28" i="8"/>
  <c r="M26" i="8"/>
  <c r="M27" i="8"/>
  <c r="E92" i="8"/>
  <c r="E94" i="8" s="1"/>
  <c r="G42" i="8"/>
  <c r="G43" i="8" s="1"/>
  <c r="G44" i="8" s="1"/>
  <c r="Q91" i="8"/>
  <c r="S70" i="8"/>
  <c r="Q83" i="8"/>
  <c r="Q82" i="8" s="1"/>
  <c r="U66" i="8"/>
  <c r="L49" i="8"/>
  <c r="L98" i="8" s="1"/>
  <c r="T66" i="8"/>
  <c r="D45" i="8"/>
  <c r="I26" i="8"/>
  <c r="I27" i="8" s="1"/>
  <c r="D75" i="8"/>
  <c r="S71" i="8"/>
  <c r="Q70" i="8"/>
  <c r="S66" i="8"/>
  <c r="J26" i="8"/>
  <c r="J28" i="8" s="1"/>
  <c r="J75" i="8"/>
  <c r="J77" i="8" s="1"/>
  <c r="S68" i="8"/>
  <c r="R66" i="8"/>
  <c r="M75" i="8"/>
  <c r="L75" i="8"/>
  <c r="L76" i="8" s="1"/>
  <c r="D94" i="8"/>
  <c r="Q66" i="8"/>
  <c r="U88" i="8"/>
  <c r="G26" i="8"/>
  <c r="G27" i="8" s="1"/>
  <c r="O26" i="8"/>
  <c r="O27" i="8" s="1"/>
  <c r="I19" i="8"/>
  <c r="N26" i="8"/>
  <c r="N27" i="8" s="1"/>
  <c r="F43" i="8"/>
  <c r="F44" i="8" s="1"/>
  <c r="I90" i="8"/>
  <c r="J90" i="8" s="1"/>
  <c r="K90" i="8" s="1"/>
  <c r="L90" i="8" s="1"/>
  <c r="M90" i="8" s="1"/>
  <c r="H91" i="8"/>
  <c r="H92" i="8" s="1"/>
  <c r="H93" i="8" s="1"/>
  <c r="H26" i="8"/>
  <c r="H17" i="8"/>
  <c r="H19" i="8" s="1"/>
  <c r="H34" i="8"/>
  <c r="K75" i="8"/>
  <c r="K76" i="8" s="1"/>
  <c r="F26" i="8"/>
  <c r="F27" i="8" s="1"/>
  <c r="I75" i="8"/>
  <c r="I76" i="8" s="1"/>
  <c r="D26" i="8"/>
  <c r="E76" i="8"/>
  <c r="K27" i="8"/>
  <c r="L26" i="8"/>
  <c r="L27" i="8" s="1"/>
  <c r="H42" i="8"/>
  <c r="H43" i="8" s="1"/>
  <c r="H44" i="8" s="1"/>
  <c r="I41" i="8"/>
  <c r="G91" i="8"/>
  <c r="E19" i="8"/>
  <c r="M19" i="8"/>
  <c r="E45" i="8"/>
  <c r="H75" i="8"/>
  <c r="H76" i="8" s="1"/>
  <c r="F77" i="8" l="1"/>
  <c r="F98" i="8"/>
  <c r="G49" i="8"/>
  <c r="Q92" i="8"/>
  <c r="Q93" i="8" s="1"/>
  <c r="T75" i="8"/>
  <c r="K77" i="8"/>
  <c r="J27" i="8"/>
  <c r="R68" i="8"/>
  <c r="R67" i="8" s="1"/>
  <c r="D77" i="8"/>
  <c r="Q77" i="8" s="1"/>
  <c r="Q68" i="8"/>
  <c r="Q67" i="8" s="1"/>
  <c r="O77" i="8"/>
  <c r="T68" i="8"/>
  <c r="T67" i="8" s="1"/>
  <c r="G77" i="8"/>
  <c r="F96" i="8"/>
  <c r="F97" i="8" s="1"/>
  <c r="E28" i="8"/>
  <c r="E47" i="8" s="1"/>
  <c r="E48" i="8" s="1"/>
  <c r="E96" i="8"/>
  <c r="E97" i="8" s="1"/>
  <c r="M76" i="8"/>
  <c r="O76" i="8"/>
  <c r="U68" i="8"/>
  <c r="U67" i="8" s="1"/>
  <c r="L77" i="8"/>
  <c r="S77" i="8" s="1"/>
  <c r="J76" i="8"/>
  <c r="M77" i="8"/>
  <c r="S67" i="8"/>
  <c r="I28" i="8"/>
  <c r="M28" i="8"/>
  <c r="L91" i="8"/>
  <c r="L92" i="8" s="1"/>
  <c r="L93" i="8" s="1"/>
  <c r="G92" i="8"/>
  <c r="G94" i="8" s="1"/>
  <c r="D76" i="8"/>
  <c r="U75" i="8"/>
  <c r="U76" i="8" s="1"/>
  <c r="Q75" i="8"/>
  <c r="Q76" i="8" s="1"/>
  <c r="Q94" i="8"/>
  <c r="S75" i="8"/>
  <c r="S76" i="8" s="1"/>
  <c r="R75" i="8"/>
  <c r="R76" i="8" s="1"/>
  <c r="H27" i="8"/>
  <c r="I77" i="8"/>
  <c r="T76" i="8"/>
  <c r="E93" i="8"/>
  <c r="M91" i="8"/>
  <c r="N90" i="8"/>
  <c r="F45" i="8"/>
  <c r="H77" i="8"/>
  <c r="O28" i="8"/>
  <c r="F28" i="8"/>
  <c r="M98" i="8"/>
  <c r="N49" i="8"/>
  <c r="D27" i="8"/>
  <c r="D28" i="8"/>
  <c r="D47" i="8" s="1"/>
  <c r="D48" i="8" s="1"/>
  <c r="G28" i="8"/>
  <c r="I91" i="8"/>
  <c r="I92" i="8" s="1"/>
  <c r="H94" i="8"/>
  <c r="N28" i="8"/>
  <c r="J91" i="8"/>
  <c r="L28" i="8"/>
  <c r="I42" i="8"/>
  <c r="I43" i="8" s="1"/>
  <c r="J41" i="8"/>
  <c r="H45" i="8"/>
  <c r="H28" i="8"/>
  <c r="K91" i="8"/>
  <c r="K92" i="8" s="1"/>
  <c r="G45" i="8"/>
  <c r="H49" i="8" l="1"/>
  <c r="G98" i="8"/>
  <c r="D96" i="8"/>
  <c r="D97" i="8" s="1"/>
  <c r="Q97" i="8" s="1"/>
  <c r="T77" i="8"/>
  <c r="L94" i="8"/>
  <c r="L96" i="8" s="1"/>
  <c r="L97" i="8" s="1"/>
  <c r="G93" i="8"/>
  <c r="H47" i="8"/>
  <c r="H48" i="8" s="1"/>
  <c r="G96" i="8"/>
  <c r="G97" i="8" s="1"/>
  <c r="H96" i="8"/>
  <c r="R77" i="8"/>
  <c r="M92" i="8"/>
  <c r="M94" i="8" s="1"/>
  <c r="R91" i="8"/>
  <c r="U77" i="8"/>
  <c r="J92" i="8"/>
  <c r="S92" i="8" s="1"/>
  <c r="S93" i="8" s="1"/>
  <c r="S91" i="8"/>
  <c r="R92" i="8"/>
  <c r="R93" i="8" s="1"/>
  <c r="I44" i="8"/>
  <c r="I45" i="8"/>
  <c r="I47" i="8" s="1"/>
  <c r="I48" i="8" s="1"/>
  <c r="I93" i="8"/>
  <c r="I94" i="8"/>
  <c r="I96" i="8" s="1"/>
  <c r="I97" i="8" s="1"/>
  <c r="G47" i="8"/>
  <c r="G48" i="8" s="1"/>
  <c r="K93" i="8"/>
  <c r="K94" i="8"/>
  <c r="K96" i="8" s="1"/>
  <c r="K97" i="8" s="1"/>
  <c r="O90" i="8"/>
  <c r="O91" i="8" s="1"/>
  <c r="O92" i="8" s="1"/>
  <c r="N91" i="8"/>
  <c r="N92" i="8" s="1"/>
  <c r="K41" i="8"/>
  <c r="J42" i="8"/>
  <c r="J43" i="8" s="1"/>
  <c r="O49" i="8"/>
  <c r="O98" i="8" s="1"/>
  <c r="N98" i="8"/>
  <c r="F47" i="8"/>
  <c r="F48" i="8" s="1"/>
  <c r="I49" i="8" l="1"/>
  <c r="I98" i="8" s="1"/>
  <c r="H98" i="8"/>
  <c r="D99" i="8"/>
  <c r="D100" i="8" s="1"/>
  <c r="Q96" i="8"/>
  <c r="U91" i="8"/>
  <c r="M93" i="8"/>
  <c r="H97" i="8"/>
  <c r="T91" i="8"/>
  <c r="M96" i="8"/>
  <c r="T92" i="8"/>
  <c r="T93" i="8" s="1"/>
  <c r="U92" i="8"/>
  <c r="U93" i="8" s="1"/>
  <c r="J94" i="8"/>
  <c r="R94" i="8"/>
  <c r="J93" i="8"/>
  <c r="D50" i="8"/>
  <c r="D53" i="8" s="1"/>
  <c r="R96" i="8"/>
  <c r="J44" i="8"/>
  <c r="J45" i="8"/>
  <c r="J47" i="8" s="1"/>
  <c r="J48" i="8" s="1"/>
  <c r="L41" i="8"/>
  <c r="K42" i="8"/>
  <c r="K43" i="8" s="1"/>
  <c r="N93" i="8"/>
  <c r="N94" i="8"/>
  <c r="N96" i="8" s="1"/>
  <c r="N97" i="8" s="1"/>
  <c r="O93" i="8"/>
  <c r="O94" i="8"/>
  <c r="O96" i="8" s="1"/>
  <c r="O97" i="8" s="1"/>
  <c r="D102" i="8" l="1"/>
  <c r="E99" i="8" s="1"/>
  <c r="E100" i="8" s="1"/>
  <c r="T94" i="8"/>
  <c r="T96" i="8"/>
  <c r="M97" i="8"/>
  <c r="T97" i="8" s="1"/>
  <c r="D51" i="8"/>
  <c r="E50" i="8"/>
  <c r="E51" i="8" s="1"/>
  <c r="J96" i="8"/>
  <c r="J97" i="8" s="1"/>
  <c r="S94" i="8"/>
  <c r="U94" i="8"/>
  <c r="R97" i="8"/>
  <c r="K44" i="8"/>
  <c r="K45" i="8"/>
  <c r="K47" i="8" s="1"/>
  <c r="K48" i="8" s="1"/>
  <c r="M41" i="8"/>
  <c r="L42" i="8"/>
  <c r="L43" i="8" s="1"/>
  <c r="D106" i="8" l="1"/>
  <c r="E102" i="8"/>
  <c r="F99" i="8" s="1"/>
  <c r="F100" i="8" s="1"/>
  <c r="E53" i="8"/>
  <c r="S96" i="8"/>
  <c r="U96" i="8"/>
  <c r="L44" i="8"/>
  <c r="L45" i="8"/>
  <c r="L47" i="8" s="1"/>
  <c r="L48" i="8" s="1"/>
  <c r="N41" i="8"/>
  <c r="M42" i="8"/>
  <c r="M43" i="8" s="1"/>
  <c r="Q99" i="8" l="1"/>
  <c r="Q100" i="8" s="1"/>
  <c r="F102" i="8"/>
  <c r="E106" i="8"/>
  <c r="F50" i="8"/>
  <c r="S97" i="8"/>
  <c r="U97" i="8"/>
  <c r="M44" i="8"/>
  <c r="M45" i="8"/>
  <c r="M47" i="8" s="1"/>
  <c r="M48" i="8" s="1"/>
  <c r="O41" i="8"/>
  <c r="O42" i="8" s="1"/>
  <c r="O43" i="8" s="1"/>
  <c r="N42" i="8"/>
  <c r="N43" i="8" s="1"/>
  <c r="G99" i="8"/>
  <c r="G102" i="8" s="1"/>
  <c r="F51" i="8" l="1"/>
  <c r="F53" i="8"/>
  <c r="G100" i="8"/>
  <c r="N44" i="8"/>
  <c r="N45" i="8"/>
  <c r="N47" i="8" s="1"/>
  <c r="N48" i="8" s="1"/>
  <c r="O44" i="8"/>
  <c r="O45" i="8"/>
  <c r="O47" i="8" s="1"/>
  <c r="O48" i="8" s="1"/>
  <c r="H99" i="8"/>
  <c r="H100" i="8" s="1"/>
  <c r="F106" i="8" l="1"/>
  <c r="G50" i="8"/>
  <c r="G51" i="8" s="1"/>
  <c r="H102" i="8"/>
  <c r="G53" i="8" l="1"/>
  <c r="H50" i="8" s="1"/>
  <c r="I99" i="8"/>
  <c r="G106" i="8" l="1"/>
  <c r="H51" i="8"/>
  <c r="H53" i="8"/>
  <c r="I100" i="8"/>
  <c r="R99" i="8"/>
  <c r="R100" i="8" s="1"/>
  <c r="I102" i="8"/>
  <c r="I50" i="8" l="1"/>
  <c r="H106" i="8"/>
  <c r="J99" i="8"/>
  <c r="J103" i="8"/>
  <c r="J104" i="8" s="1"/>
  <c r="I51" i="8" l="1"/>
  <c r="I53" i="8"/>
  <c r="K103" i="8"/>
  <c r="K104" i="8" s="1"/>
  <c r="J105" i="8"/>
  <c r="J100" i="8"/>
  <c r="J102" i="8"/>
  <c r="J54" i="8" l="1"/>
  <c r="J55" i="8" s="1"/>
  <c r="K54" i="8" s="1"/>
  <c r="K55" i="8" s="1"/>
  <c r="L54" i="8" s="1"/>
  <c r="L55" i="8" s="1"/>
  <c r="J50" i="8"/>
  <c r="I106" i="8"/>
  <c r="L103" i="8"/>
  <c r="L104" i="8" s="1"/>
  <c r="K99" i="8"/>
  <c r="J51" i="8" l="1"/>
  <c r="J56" i="8"/>
  <c r="J53" i="8"/>
  <c r="K102" i="8"/>
  <c r="L99" i="8" s="1"/>
  <c r="M54" i="8"/>
  <c r="M55" i="8" s="1"/>
  <c r="M103" i="8"/>
  <c r="M104" i="8" s="1"/>
  <c r="K105" i="8"/>
  <c r="K100" i="8"/>
  <c r="K50" i="8" l="1"/>
  <c r="J106" i="8"/>
  <c r="L102" i="8"/>
  <c r="M99" i="8" s="1"/>
  <c r="S99" i="8"/>
  <c r="S100" i="8" s="1"/>
  <c r="N103" i="8"/>
  <c r="N104" i="8" s="1"/>
  <c r="L105" i="8"/>
  <c r="L100" i="8"/>
  <c r="N54" i="8"/>
  <c r="N55" i="8" s="1"/>
  <c r="K53" i="8" l="1"/>
  <c r="K51" i="8"/>
  <c r="K56" i="8"/>
  <c r="O103" i="8"/>
  <c r="O104" i="8" s="1"/>
  <c r="M105" i="8"/>
  <c r="M100" i="8"/>
  <c r="O54" i="8"/>
  <c r="O55" i="8" s="1"/>
  <c r="M102" i="8"/>
  <c r="L50" i="8" l="1"/>
  <c r="K106" i="8"/>
  <c r="N99" i="8"/>
  <c r="L51" i="8" l="1"/>
  <c r="L53" i="8"/>
  <c r="L56" i="8"/>
  <c r="N102" i="8"/>
  <c r="O99" i="8" s="1"/>
  <c r="U99" i="8" s="1"/>
  <c r="U100" i="8" s="1"/>
  <c r="N105" i="8"/>
  <c r="N100" i="8"/>
  <c r="O102" i="8" l="1"/>
  <c r="M50" i="8"/>
  <c r="M53" i="8" s="1"/>
  <c r="L106" i="8"/>
  <c r="T99" i="8"/>
  <c r="T100" i="8" s="1"/>
  <c r="O105" i="8"/>
  <c r="O100" i="8"/>
  <c r="M106" i="8" l="1"/>
  <c r="N50" i="8"/>
  <c r="M56" i="8"/>
  <c r="M51" i="8"/>
  <c r="N53" i="8" l="1"/>
  <c r="N56" i="8"/>
  <c r="N51" i="8"/>
  <c r="O50" i="8" l="1"/>
  <c r="N106" i="8"/>
  <c r="O53" i="8" l="1"/>
  <c r="O106" i="8" s="1"/>
  <c r="O51" i="8"/>
  <c r="O56" i="8"/>
  <c r="G106" i="6" l="1"/>
  <c r="H106" i="6" s="1"/>
  <c r="I106" i="6" s="1"/>
  <c r="J106" i="6" s="1"/>
  <c r="K106" i="6" s="1"/>
  <c r="L106" i="6" s="1"/>
  <c r="M106" i="6" s="1"/>
  <c r="N106" i="6" s="1"/>
  <c r="O106" i="6" s="1"/>
  <c r="E106" i="6"/>
  <c r="O33" i="6" l="1"/>
  <c r="O81" i="6"/>
  <c r="Q59" i="6"/>
  <c r="R59" i="6"/>
  <c r="S59" i="6"/>
  <c r="T59" i="6"/>
  <c r="U59" i="6"/>
  <c r="Q60" i="6"/>
  <c r="R60" i="6"/>
  <c r="S60" i="6"/>
  <c r="T60" i="6"/>
  <c r="U60" i="6"/>
  <c r="Q61" i="6"/>
  <c r="R61" i="6"/>
  <c r="S61" i="6"/>
  <c r="T61" i="6"/>
  <c r="U61" i="6"/>
  <c r="Q62" i="6"/>
  <c r="R62" i="6"/>
  <c r="S62" i="6"/>
  <c r="T62" i="6"/>
  <c r="U62" i="6"/>
  <c r="Q79" i="6"/>
  <c r="R79" i="6"/>
  <c r="S79" i="6"/>
  <c r="T79" i="6"/>
  <c r="U79" i="6"/>
  <c r="Q83" i="6"/>
  <c r="R83" i="6"/>
  <c r="S83" i="6"/>
  <c r="T83" i="6"/>
  <c r="U83" i="6"/>
  <c r="Q84" i="6"/>
  <c r="R84" i="6"/>
  <c r="S84" i="6"/>
  <c r="T84" i="6"/>
  <c r="U84" i="6"/>
  <c r="Q85" i="6"/>
  <c r="R85" i="6"/>
  <c r="S85" i="6"/>
  <c r="T85" i="6"/>
  <c r="T71" i="6" s="1"/>
  <c r="U85" i="6"/>
  <c r="C104" i="6"/>
  <c r="C97" i="6"/>
  <c r="B97" i="6"/>
  <c r="C96" i="6"/>
  <c r="C95" i="6"/>
  <c r="B95" i="6"/>
  <c r="B92" i="6"/>
  <c r="B90" i="6"/>
  <c r="B89" i="6"/>
  <c r="B88" i="6"/>
  <c r="B87" i="6"/>
  <c r="C86" i="6"/>
  <c r="B86" i="6"/>
  <c r="C85" i="6"/>
  <c r="B85" i="6"/>
  <c r="C84" i="6"/>
  <c r="B84" i="6"/>
  <c r="C83" i="6"/>
  <c r="B83" i="6"/>
  <c r="B81" i="6"/>
  <c r="C80" i="6"/>
  <c r="B80" i="6"/>
  <c r="C79" i="6"/>
  <c r="B79" i="6"/>
  <c r="B78" i="6"/>
  <c r="B76" i="6"/>
  <c r="B74" i="6"/>
  <c r="B73" i="6"/>
  <c r="C72" i="6"/>
  <c r="B72" i="6"/>
  <c r="B71" i="6"/>
  <c r="B70" i="6"/>
  <c r="B69" i="6"/>
  <c r="B67" i="6"/>
  <c r="C66" i="6"/>
  <c r="B66" i="6"/>
  <c r="B65" i="6"/>
  <c r="B64" i="6"/>
  <c r="C52" i="6"/>
  <c r="C100" i="6" s="1"/>
  <c r="C46" i="6"/>
  <c r="C94" i="6" s="1"/>
  <c r="C44" i="6"/>
  <c r="C92" i="6" s="1"/>
  <c r="C42" i="6"/>
  <c r="C90" i="6" s="1"/>
  <c r="C41" i="6"/>
  <c r="C89" i="6" s="1"/>
  <c r="C39" i="6"/>
  <c r="C87" i="6" s="1"/>
  <c r="C33" i="6"/>
  <c r="C81" i="6" s="1"/>
  <c r="C28" i="6"/>
  <c r="C76" i="6" s="1"/>
  <c r="C26" i="6"/>
  <c r="C74" i="6" s="1"/>
  <c r="C25" i="6"/>
  <c r="C73" i="6" s="1"/>
  <c r="C23" i="6"/>
  <c r="C71" i="6" s="1"/>
  <c r="C22" i="6"/>
  <c r="C70" i="6" s="1"/>
  <c r="C21" i="6"/>
  <c r="C69" i="6" s="1"/>
  <c r="C19" i="6"/>
  <c r="C67" i="6" s="1"/>
  <c r="C17" i="6"/>
  <c r="C65" i="6" s="1"/>
  <c r="D96" i="6"/>
  <c r="G88" i="6"/>
  <c r="H88" i="6" s="1"/>
  <c r="I88" i="6" s="1"/>
  <c r="J88" i="6" s="1"/>
  <c r="K88" i="6" s="1"/>
  <c r="L88" i="6" s="1"/>
  <c r="M88" i="6" s="1"/>
  <c r="N88" i="6" s="1"/>
  <c r="O88" i="6" s="1"/>
  <c r="E88" i="6"/>
  <c r="E89" i="6" s="1"/>
  <c r="I89" i="6"/>
  <c r="F89" i="6"/>
  <c r="D89" i="6"/>
  <c r="L81" i="6"/>
  <c r="J81" i="6"/>
  <c r="I81" i="6"/>
  <c r="H81" i="6"/>
  <c r="G81" i="6"/>
  <c r="R81" i="6" s="1"/>
  <c r="E81" i="6"/>
  <c r="D81" i="6"/>
  <c r="O70" i="6"/>
  <c r="M70" i="6"/>
  <c r="L70" i="6"/>
  <c r="K70" i="6"/>
  <c r="J70" i="6"/>
  <c r="I70" i="6"/>
  <c r="H70" i="6"/>
  <c r="G70" i="6"/>
  <c r="E70" i="6"/>
  <c r="D70" i="6"/>
  <c r="O69" i="6"/>
  <c r="N69" i="6"/>
  <c r="M69" i="6"/>
  <c r="L69" i="6"/>
  <c r="K69" i="6"/>
  <c r="I69" i="6"/>
  <c r="H69" i="6"/>
  <c r="G69" i="6"/>
  <c r="F69" i="6"/>
  <c r="E69" i="6"/>
  <c r="D69" i="6"/>
  <c r="O71" i="6"/>
  <c r="N71" i="6"/>
  <c r="M71" i="6"/>
  <c r="L71" i="6"/>
  <c r="K71" i="6"/>
  <c r="I71" i="6"/>
  <c r="H71" i="6"/>
  <c r="G71" i="6"/>
  <c r="F71" i="6"/>
  <c r="E71" i="6"/>
  <c r="D71" i="6"/>
  <c r="O65" i="6"/>
  <c r="O67" i="6" s="1"/>
  <c r="N65" i="6"/>
  <c r="N67" i="6" s="1"/>
  <c r="M65" i="6"/>
  <c r="M67" i="6" s="1"/>
  <c r="L65" i="6"/>
  <c r="L67" i="6" s="1"/>
  <c r="K65" i="6"/>
  <c r="K67" i="6" s="1"/>
  <c r="I65" i="6"/>
  <c r="I67" i="6" s="1"/>
  <c r="H65" i="6"/>
  <c r="H67" i="6" s="1"/>
  <c r="G65" i="6"/>
  <c r="G67" i="6" s="1"/>
  <c r="F65" i="6"/>
  <c r="F67" i="6" s="1"/>
  <c r="E65" i="6"/>
  <c r="E67" i="6" s="1"/>
  <c r="D65" i="6"/>
  <c r="D67" i="6" s="1"/>
  <c r="E48" i="6"/>
  <c r="E96" i="6" s="1"/>
  <c r="G40" i="6"/>
  <c r="H40" i="6" s="1"/>
  <c r="I40" i="6" s="1"/>
  <c r="J40" i="6" s="1"/>
  <c r="K40" i="6" s="1"/>
  <c r="L40" i="6" s="1"/>
  <c r="M40" i="6" s="1"/>
  <c r="N40" i="6" s="1"/>
  <c r="O40" i="6" s="1"/>
  <c r="E40" i="6"/>
  <c r="E41" i="6" s="1"/>
  <c r="N33" i="6"/>
  <c r="L33" i="6"/>
  <c r="J33" i="6"/>
  <c r="I33" i="6"/>
  <c r="H33" i="6"/>
  <c r="G33" i="6"/>
  <c r="F33" i="6"/>
  <c r="D33" i="6"/>
  <c r="G24" i="6"/>
  <c r="O22" i="6"/>
  <c r="N22" i="6"/>
  <c r="L22" i="6"/>
  <c r="J22" i="6"/>
  <c r="I22" i="6"/>
  <c r="H22" i="6"/>
  <c r="G22" i="6"/>
  <c r="F22" i="6"/>
  <c r="D22" i="6"/>
  <c r="N21" i="6"/>
  <c r="M21" i="6"/>
  <c r="L21" i="6"/>
  <c r="K21" i="6"/>
  <c r="J21" i="6"/>
  <c r="H21" i="6"/>
  <c r="F21" i="6"/>
  <c r="E21" i="6"/>
  <c r="D21" i="6"/>
  <c r="N23" i="6"/>
  <c r="M23" i="6"/>
  <c r="L23" i="6"/>
  <c r="K23" i="6"/>
  <c r="J23" i="6"/>
  <c r="H23" i="6"/>
  <c r="F23" i="6"/>
  <c r="F25" i="6" s="1"/>
  <c r="E23" i="6"/>
  <c r="D23" i="6"/>
  <c r="D25" i="6" s="1"/>
  <c r="N17" i="6"/>
  <c r="N19" i="6" s="1"/>
  <c r="M17" i="6"/>
  <c r="M19" i="6" s="1"/>
  <c r="L17" i="6"/>
  <c r="L19" i="6" s="1"/>
  <c r="K17" i="6"/>
  <c r="J17" i="6"/>
  <c r="J19" i="6" s="1"/>
  <c r="H17" i="6"/>
  <c r="H19" i="6" s="1"/>
  <c r="F17" i="6"/>
  <c r="F19" i="6" s="1"/>
  <c r="E17" i="6"/>
  <c r="E19" i="6" s="1"/>
  <c r="D17" i="6"/>
  <c r="D19" i="6" s="1"/>
  <c r="S71" i="6" l="1"/>
  <c r="U69" i="6"/>
  <c r="T69" i="6"/>
  <c r="Q71" i="6"/>
  <c r="S69" i="6"/>
  <c r="U70" i="6"/>
  <c r="R71" i="6"/>
  <c r="R67" i="6"/>
  <c r="R80" i="6"/>
  <c r="R70" i="6"/>
  <c r="G89" i="6"/>
  <c r="H89" i="6"/>
  <c r="T70" i="6"/>
  <c r="R69" i="6"/>
  <c r="Q89" i="6"/>
  <c r="Q88" i="6" s="1"/>
  <c r="S70" i="6"/>
  <c r="Q69" i="6"/>
  <c r="Q70" i="6"/>
  <c r="Q67" i="6"/>
  <c r="Q66" i="6" s="1"/>
  <c r="T67" i="6"/>
  <c r="T65" i="6"/>
  <c r="U71" i="6"/>
  <c r="R65" i="6"/>
  <c r="R66" i="6" s="1"/>
  <c r="Q65" i="6"/>
  <c r="K81" i="6"/>
  <c r="S81" i="6" s="1"/>
  <c r="S80" i="6" s="1"/>
  <c r="G17" i="6"/>
  <c r="G19" i="6" s="1"/>
  <c r="O17" i="6"/>
  <c r="O19" i="6" s="1"/>
  <c r="G21" i="6"/>
  <c r="O21" i="6"/>
  <c r="K22" i="6"/>
  <c r="M81" i="6"/>
  <c r="T81" i="6" s="1"/>
  <c r="T80" i="6" s="1"/>
  <c r="K33" i="6"/>
  <c r="O89" i="6"/>
  <c r="G23" i="6"/>
  <c r="G25" i="6" s="1"/>
  <c r="O23" i="6"/>
  <c r="D26" i="6"/>
  <c r="D28" i="6" s="1"/>
  <c r="I23" i="6"/>
  <c r="J65" i="6"/>
  <c r="J69" i="6"/>
  <c r="F70" i="6"/>
  <c r="N70" i="6"/>
  <c r="F26" i="6"/>
  <c r="F27" i="6" s="1"/>
  <c r="K41" i="6"/>
  <c r="L89" i="6"/>
  <c r="L41" i="6"/>
  <c r="M89" i="6"/>
  <c r="T89" i="6" s="1"/>
  <c r="T88" i="6" s="1"/>
  <c r="E33" i="6"/>
  <c r="M33" i="6"/>
  <c r="M41" i="6"/>
  <c r="F81" i="6"/>
  <c r="Q81" i="6" s="1"/>
  <c r="Q80" i="6" s="1"/>
  <c r="N81" i="6"/>
  <c r="N89" i="6"/>
  <c r="I41" i="6"/>
  <c r="I19" i="6"/>
  <c r="I21" i="6"/>
  <c r="E22" i="6"/>
  <c r="M22" i="6"/>
  <c r="F41" i="6"/>
  <c r="N41" i="6"/>
  <c r="J71" i="6"/>
  <c r="G41" i="6"/>
  <c r="O41" i="6"/>
  <c r="K19" i="6"/>
  <c r="H24" i="6"/>
  <c r="H25" i="6" s="1"/>
  <c r="H26" i="6" s="1"/>
  <c r="H27" i="6" s="1"/>
  <c r="G72" i="6"/>
  <c r="G73" i="6" s="1"/>
  <c r="G86" i="6"/>
  <c r="G87" i="6" s="1"/>
  <c r="H41" i="6"/>
  <c r="D38" i="6"/>
  <c r="E38" i="6" s="1"/>
  <c r="E39" i="6" s="1"/>
  <c r="E42" i="6" s="1"/>
  <c r="E24" i="6"/>
  <c r="D72" i="6"/>
  <c r="D86" i="6" s="1"/>
  <c r="D87" i="6" s="1"/>
  <c r="J89" i="6"/>
  <c r="S89" i="6" s="1"/>
  <c r="S88" i="6" s="1"/>
  <c r="J41" i="6"/>
  <c r="K89" i="6"/>
  <c r="F38" i="6"/>
  <c r="G38" i="6" s="1"/>
  <c r="H38" i="6" s="1"/>
  <c r="H39" i="6" s="1"/>
  <c r="F86" i="6"/>
  <c r="F87" i="6" s="1"/>
  <c r="F90" i="6" s="1"/>
  <c r="D41" i="6"/>
  <c r="F48" i="6"/>
  <c r="F72" i="6"/>
  <c r="F73" i="6" s="1"/>
  <c r="U89" i="6" l="1"/>
  <c r="U88" i="6" s="1"/>
  <c r="F96" i="6"/>
  <c r="G48" i="6"/>
  <c r="R89" i="6"/>
  <c r="R88" i="6" s="1"/>
  <c r="U81" i="6"/>
  <c r="U80" i="6" s="1"/>
  <c r="T66" i="6"/>
  <c r="J67" i="6"/>
  <c r="S65" i="6"/>
  <c r="U65" i="6"/>
  <c r="G26" i="6"/>
  <c r="G27" i="6" s="1"/>
  <c r="F74" i="6"/>
  <c r="F76" i="6" s="1"/>
  <c r="G90" i="6"/>
  <c r="G74" i="6"/>
  <c r="G76" i="6" s="1"/>
  <c r="D90" i="6"/>
  <c r="D27" i="6"/>
  <c r="G39" i="6"/>
  <c r="G42" i="6" s="1"/>
  <c r="G43" i="6" s="1"/>
  <c r="F28" i="6"/>
  <c r="H42" i="6"/>
  <c r="H43" i="6" s="1"/>
  <c r="F91" i="6"/>
  <c r="F92" i="6"/>
  <c r="H44" i="6"/>
  <c r="E43" i="6"/>
  <c r="E44" i="6"/>
  <c r="E86" i="6"/>
  <c r="E87" i="6" s="1"/>
  <c r="E90" i="6" s="1"/>
  <c r="E72" i="6"/>
  <c r="E73" i="6" s="1"/>
  <c r="E74" i="6" s="1"/>
  <c r="D73" i="6"/>
  <c r="D39" i="6"/>
  <c r="D42" i="6" s="1"/>
  <c r="I24" i="6"/>
  <c r="H72" i="6"/>
  <c r="H73" i="6" s="1"/>
  <c r="H74" i="6" s="1"/>
  <c r="H86" i="6"/>
  <c r="H87" i="6" s="1"/>
  <c r="H90" i="6" s="1"/>
  <c r="H28" i="6"/>
  <c r="E25" i="6"/>
  <c r="E26" i="6" s="1"/>
  <c r="F39" i="6"/>
  <c r="F42" i="6" s="1"/>
  <c r="H48" i="6" l="1"/>
  <c r="G96" i="6"/>
  <c r="Q73" i="6"/>
  <c r="F94" i="6"/>
  <c r="F95" i="6" s="1"/>
  <c r="Q87" i="6"/>
  <c r="Q86" i="6" s="1"/>
  <c r="F75" i="6"/>
  <c r="S67" i="6"/>
  <c r="S66" i="6" s="1"/>
  <c r="U67" i="6"/>
  <c r="U66" i="6" s="1"/>
  <c r="G28" i="6"/>
  <c r="G92" i="6"/>
  <c r="G94" i="6" s="1"/>
  <c r="G95" i="6" s="1"/>
  <c r="G91" i="6"/>
  <c r="G75" i="6"/>
  <c r="D74" i="6"/>
  <c r="D75" i="6" s="1"/>
  <c r="Q90" i="6"/>
  <c r="Q91" i="6" s="1"/>
  <c r="D92" i="6"/>
  <c r="D91" i="6"/>
  <c r="G44" i="6"/>
  <c r="H46" i="6"/>
  <c r="H47" i="6" s="1"/>
  <c r="K48" i="6"/>
  <c r="J96" i="6"/>
  <c r="H91" i="6"/>
  <c r="H92" i="6"/>
  <c r="I72" i="6"/>
  <c r="I73" i="6" s="1"/>
  <c r="I86" i="6"/>
  <c r="I87" i="6" s="1"/>
  <c r="I38" i="6"/>
  <c r="I39" i="6" s="1"/>
  <c r="I42" i="6" s="1"/>
  <c r="J24" i="6"/>
  <c r="I25" i="6"/>
  <c r="I26" i="6" s="1"/>
  <c r="F43" i="6"/>
  <c r="F44" i="6"/>
  <c r="F46" i="6" s="1"/>
  <c r="F47" i="6" s="1"/>
  <c r="D43" i="6"/>
  <c r="D44" i="6"/>
  <c r="D46" i="6" s="1"/>
  <c r="D47" i="6" s="1"/>
  <c r="E27" i="6"/>
  <c r="E28" i="6"/>
  <c r="E46" i="6" s="1"/>
  <c r="E47" i="6" s="1"/>
  <c r="H75" i="6"/>
  <c r="H76" i="6"/>
  <c r="E75" i="6"/>
  <c r="E76" i="6"/>
  <c r="E91" i="6"/>
  <c r="E92" i="6"/>
  <c r="I48" i="6" l="1"/>
  <c r="I96" i="6" s="1"/>
  <c r="H96" i="6"/>
  <c r="G46" i="6"/>
  <c r="G47" i="6" s="1"/>
  <c r="D76" i="6"/>
  <c r="D94" i="6" s="1"/>
  <c r="D95" i="6" s="1"/>
  <c r="I90" i="6"/>
  <c r="I91" i="6" s="1"/>
  <c r="R87" i="6"/>
  <c r="R86" i="6" s="1"/>
  <c r="I74" i="6"/>
  <c r="R74" i="6" s="1"/>
  <c r="R75" i="6" s="1"/>
  <c r="R73" i="6"/>
  <c r="R72" i="6" s="1"/>
  <c r="Q74" i="6"/>
  <c r="Q75" i="6" s="1"/>
  <c r="Q92" i="6"/>
  <c r="H94" i="6"/>
  <c r="H95" i="6" s="1"/>
  <c r="D49" i="6"/>
  <c r="I27" i="6"/>
  <c r="I28" i="6"/>
  <c r="K96" i="6"/>
  <c r="L48" i="6"/>
  <c r="E94" i="6"/>
  <c r="E95" i="6" s="1"/>
  <c r="J86" i="6"/>
  <c r="J87" i="6" s="1"/>
  <c r="J38" i="6"/>
  <c r="J39" i="6" s="1"/>
  <c r="J42" i="6" s="1"/>
  <c r="K24" i="6"/>
  <c r="J72" i="6"/>
  <c r="J73" i="6" s="1"/>
  <c r="J25" i="6"/>
  <c r="J26" i="6" s="1"/>
  <c r="I43" i="6"/>
  <c r="I44" i="6"/>
  <c r="I75" i="6" l="1"/>
  <c r="Q76" i="6"/>
  <c r="J90" i="6"/>
  <c r="J91" i="6" s="1"/>
  <c r="R90" i="6"/>
  <c r="R91" i="6" s="1"/>
  <c r="I76" i="6"/>
  <c r="J74" i="6"/>
  <c r="J75" i="6" s="1"/>
  <c r="I92" i="6"/>
  <c r="Q94" i="6"/>
  <c r="I46" i="6"/>
  <c r="I47" i="6" s="1"/>
  <c r="D52" i="6"/>
  <c r="K86" i="6"/>
  <c r="K87" i="6" s="1"/>
  <c r="K38" i="6"/>
  <c r="K39" i="6" s="1"/>
  <c r="K42" i="6" s="1"/>
  <c r="K72" i="6"/>
  <c r="K73" i="6" s="1"/>
  <c r="K74" i="6" s="1"/>
  <c r="L24" i="6"/>
  <c r="K25" i="6"/>
  <c r="K26" i="6" s="1"/>
  <c r="D97" i="6"/>
  <c r="J43" i="6"/>
  <c r="J44" i="6"/>
  <c r="D50" i="6"/>
  <c r="J27" i="6"/>
  <c r="J28" i="6"/>
  <c r="L96" i="6"/>
  <c r="I94" i="6" l="1"/>
  <c r="I95" i="6" s="1"/>
  <c r="R76" i="6"/>
  <c r="K90" i="6"/>
  <c r="K91" i="6" s="1"/>
  <c r="J92" i="6"/>
  <c r="J76" i="6"/>
  <c r="R92" i="6"/>
  <c r="D98" i="6"/>
  <c r="Q95" i="6"/>
  <c r="J46" i="6"/>
  <c r="J47" i="6" s="1"/>
  <c r="E49" i="6"/>
  <c r="E50" i="6" s="1"/>
  <c r="L86" i="6"/>
  <c r="L87" i="6" s="1"/>
  <c r="L90" i="6" s="1"/>
  <c r="S90" i="6" s="1"/>
  <c r="S91" i="6" s="1"/>
  <c r="L38" i="6"/>
  <c r="L39" i="6" s="1"/>
  <c r="L42" i="6" s="1"/>
  <c r="L72" i="6"/>
  <c r="L73" i="6" s="1"/>
  <c r="S73" i="6" s="1"/>
  <c r="S72" i="6" s="1"/>
  <c r="M24" i="6"/>
  <c r="L25" i="6"/>
  <c r="L26" i="6" s="1"/>
  <c r="K75" i="6"/>
  <c r="K76" i="6"/>
  <c r="N48" i="6"/>
  <c r="M96" i="6"/>
  <c r="K92" i="6"/>
  <c r="D100" i="6"/>
  <c r="D104" i="6" s="1"/>
  <c r="K27" i="6"/>
  <c r="K28" i="6"/>
  <c r="K43" i="6"/>
  <c r="K44" i="6"/>
  <c r="S87" i="6" l="1"/>
  <c r="S86" i="6" s="1"/>
  <c r="J94" i="6"/>
  <c r="J95" i="6" s="1"/>
  <c r="L74" i="6"/>
  <c r="L75" i="6" s="1"/>
  <c r="R94" i="6"/>
  <c r="K46" i="6"/>
  <c r="K47" i="6" s="1"/>
  <c r="K94" i="6"/>
  <c r="K95" i="6" s="1"/>
  <c r="N96" i="6"/>
  <c r="O48" i="6"/>
  <c r="O96" i="6" s="1"/>
  <c r="L43" i="6"/>
  <c r="L44" i="6"/>
  <c r="L91" i="6"/>
  <c r="L92" i="6"/>
  <c r="S92" i="6" s="1"/>
  <c r="E97" i="6"/>
  <c r="E52" i="6"/>
  <c r="L27" i="6"/>
  <c r="L28" i="6"/>
  <c r="M86" i="6"/>
  <c r="M87" i="6" s="1"/>
  <c r="M38" i="6"/>
  <c r="M39" i="6" s="1"/>
  <c r="M42" i="6" s="1"/>
  <c r="N24" i="6"/>
  <c r="M72" i="6"/>
  <c r="M73" i="6" s="1"/>
  <c r="M25" i="6"/>
  <c r="M26" i="6" s="1"/>
  <c r="L76" i="6" l="1"/>
  <c r="S76" i="6" s="1"/>
  <c r="M90" i="6"/>
  <c r="M92" i="6" s="1"/>
  <c r="R95" i="6"/>
  <c r="M74" i="6"/>
  <c r="M75" i="6" s="1"/>
  <c r="S74" i="6"/>
  <c r="S75" i="6" s="1"/>
  <c r="E98" i="6"/>
  <c r="L46" i="6"/>
  <c r="L47" i="6" s="1"/>
  <c r="L94" i="6"/>
  <c r="L95" i="6" s="1"/>
  <c r="F49" i="6"/>
  <c r="F50" i="6" s="1"/>
  <c r="M27" i="6"/>
  <c r="M28" i="6"/>
  <c r="O24" i="6"/>
  <c r="N72" i="6"/>
  <c r="N73" i="6" s="1"/>
  <c r="N86" i="6"/>
  <c r="N87" i="6" s="1"/>
  <c r="N90" i="6" s="1"/>
  <c r="N38" i="6"/>
  <c r="N39" i="6" s="1"/>
  <c r="N42" i="6" s="1"/>
  <c r="N25" i="6"/>
  <c r="N26" i="6" s="1"/>
  <c r="M43" i="6"/>
  <c r="M44" i="6"/>
  <c r="E100" i="6"/>
  <c r="M91" i="6" l="1"/>
  <c r="M76" i="6"/>
  <c r="M94" i="6" s="1"/>
  <c r="M95" i="6" s="1"/>
  <c r="S95" i="6"/>
  <c r="S94" i="6"/>
  <c r="N74" i="6"/>
  <c r="N75" i="6" s="1"/>
  <c r="M46" i="6"/>
  <c r="M47" i="6" s="1"/>
  <c r="F97" i="6"/>
  <c r="N27" i="6"/>
  <c r="N28" i="6"/>
  <c r="O72" i="6"/>
  <c r="O73" i="6" s="1"/>
  <c r="O74" i="6" s="1"/>
  <c r="O86" i="6"/>
  <c r="O87" i="6" s="1"/>
  <c r="T87" i="6" s="1"/>
  <c r="T86" i="6" s="1"/>
  <c r="O38" i="6"/>
  <c r="O39" i="6" s="1"/>
  <c r="O42" i="6" s="1"/>
  <c r="O25" i="6"/>
  <c r="O26" i="6" s="1"/>
  <c r="N43" i="6"/>
  <c r="N44" i="6"/>
  <c r="E104" i="6"/>
  <c r="N91" i="6"/>
  <c r="N92" i="6"/>
  <c r="N76" i="6"/>
  <c r="F52" i="6"/>
  <c r="T74" i="6" l="1"/>
  <c r="T75" i="6" s="1"/>
  <c r="U73" i="6"/>
  <c r="U72" i="6" s="1"/>
  <c r="N46" i="6"/>
  <c r="N47" i="6" s="1"/>
  <c r="U74" i="6"/>
  <c r="U75" i="6" s="1"/>
  <c r="O90" i="6"/>
  <c r="O91" i="6" s="1"/>
  <c r="U87" i="6"/>
  <c r="U86" i="6" s="1"/>
  <c r="T73" i="6"/>
  <c r="T72" i="6" s="1"/>
  <c r="F98" i="6"/>
  <c r="Q97" i="6"/>
  <c r="Q98" i="6" s="1"/>
  <c r="N94" i="6"/>
  <c r="N95" i="6" s="1"/>
  <c r="F100" i="6"/>
  <c r="O75" i="6"/>
  <c r="O76" i="6"/>
  <c r="T76" i="6" s="1"/>
  <c r="G49" i="6"/>
  <c r="G50" i="6" s="1"/>
  <c r="O27" i="6"/>
  <c r="O28" i="6"/>
  <c r="O43" i="6"/>
  <c r="O44" i="6"/>
  <c r="O92" i="6" l="1"/>
  <c r="T92" i="6" s="1"/>
  <c r="T90" i="6"/>
  <c r="T91" i="6" s="1"/>
  <c r="U90" i="6"/>
  <c r="U91" i="6" s="1"/>
  <c r="O94" i="6"/>
  <c r="U92" i="6"/>
  <c r="U76" i="6"/>
  <c r="G52" i="6"/>
  <c r="H49" i="6" s="1"/>
  <c r="H50" i="6" s="1"/>
  <c r="G97" i="6"/>
  <c r="F104" i="6"/>
  <c r="O46" i="6"/>
  <c r="O47" i="6" s="1"/>
  <c r="U94" i="6" l="1"/>
  <c r="O95" i="6"/>
  <c r="T94" i="6"/>
  <c r="G98" i="6"/>
  <c r="H52" i="6"/>
  <c r="G100" i="6"/>
  <c r="T95" i="6" l="1"/>
  <c r="U95" i="6"/>
  <c r="H97" i="6"/>
  <c r="G104" i="6"/>
  <c r="I49" i="6"/>
  <c r="I50" i="6" s="1"/>
  <c r="H98" i="6" l="1"/>
  <c r="H100" i="6"/>
  <c r="I52" i="6"/>
  <c r="J49" i="6" l="1"/>
  <c r="J53" i="6"/>
  <c r="J54" i="6" s="1"/>
  <c r="I97" i="6"/>
  <c r="H104" i="6"/>
  <c r="I98" i="6" l="1"/>
  <c r="R97" i="6"/>
  <c r="R98" i="6" s="1"/>
  <c r="K53" i="6"/>
  <c r="K54" i="6" s="1"/>
  <c r="J55" i="6"/>
  <c r="J50" i="6"/>
  <c r="I100" i="6"/>
  <c r="J52" i="6"/>
  <c r="L53" i="6" l="1"/>
  <c r="L54" i="6" s="1"/>
  <c r="K49" i="6"/>
  <c r="J97" i="6"/>
  <c r="J101" i="6"/>
  <c r="J102" i="6" s="1"/>
  <c r="I104" i="6"/>
  <c r="J100" i="6" l="1"/>
  <c r="J104" i="6" s="1"/>
  <c r="K101" i="6"/>
  <c r="K102" i="6" s="1"/>
  <c r="J103" i="6"/>
  <c r="J98" i="6"/>
  <c r="K55" i="6"/>
  <c r="K50" i="6"/>
  <c r="K52" i="6"/>
  <c r="M53" i="6"/>
  <c r="M54" i="6" s="1"/>
  <c r="K97" i="6" l="1"/>
  <c r="K103" i="6" s="1"/>
  <c r="L49" i="6"/>
  <c r="L101" i="6"/>
  <c r="L102" i="6" s="1"/>
  <c r="N53" i="6"/>
  <c r="N54" i="6" s="1"/>
  <c r="K98" i="6" l="1"/>
  <c r="K100" i="6"/>
  <c r="K104" i="6" s="1"/>
  <c r="L55" i="6"/>
  <c r="L50" i="6"/>
  <c r="L52" i="6"/>
  <c r="O53" i="6"/>
  <c r="O54" i="6" s="1"/>
  <c r="M101" i="6"/>
  <c r="M102" i="6" s="1"/>
  <c r="L97" i="6" l="1"/>
  <c r="S97" i="6" s="1"/>
  <c r="S98" i="6" s="1"/>
  <c r="N101" i="6"/>
  <c r="N102" i="6" s="1"/>
  <c r="M49" i="6"/>
  <c r="M52" i="6" s="1"/>
  <c r="L103" i="6" l="1"/>
  <c r="L100" i="6"/>
  <c r="M97" i="6" s="1"/>
  <c r="L98" i="6"/>
  <c r="N49" i="6"/>
  <c r="M55" i="6"/>
  <c r="M50" i="6"/>
  <c r="O101" i="6"/>
  <c r="O102" i="6" s="1"/>
  <c r="L104" i="6" l="1"/>
  <c r="M103" i="6"/>
  <c r="M98" i="6"/>
  <c r="N55" i="6"/>
  <c r="N50" i="6"/>
  <c r="M100" i="6"/>
  <c r="N52" i="6"/>
  <c r="O49" i="6" l="1"/>
  <c r="N97" i="6"/>
  <c r="M104" i="6"/>
  <c r="O55" i="6" l="1"/>
  <c r="O50" i="6"/>
  <c r="N103" i="6"/>
  <c r="N98" i="6"/>
  <c r="N100" i="6"/>
  <c r="O52" i="6"/>
  <c r="O97" i="6" l="1"/>
  <c r="N104" i="6"/>
  <c r="U97" i="6" l="1"/>
  <c r="U98" i="6" s="1"/>
  <c r="T97" i="6"/>
  <c r="T98" i="6" s="1"/>
  <c r="O103" i="6"/>
  <c r="O98" i="6"/>
  <c r="O100" i="6"/>
  <c r="O104" i="6" s="1"/>
  <c r="U37" i="8" l="1"/>
  <c r="U38" i="8"/>
  <c r="U36" i="8"/>
  <c r="U32" i="8"/>
  <c r="U12" i="8"/>
  <c r="U13" i="8"/>
  <c r="U14" i="8"/>
  <c r="U37" i="6"/>
  <c r="U36" i="6"/>
  <c r="U35" i="6"/>
  <c r="U31" i="6"/>
  <c r="U12" i="6"/>
  <c r="U13" i="6"/>
  <c r="U14" i="6"/>
  <c r="U23" i="6" l="1"/>
  <c r="U21" i="6"/>
  <c r="U22" i="6"/>
  <c r="F197" i="3"/>
  <c r="F198" i="3" s="1"/>
  <c r="F192" i="3"/>
  <c r="F193" i="3" s="1"/>
  <c r="F187" i="3"/>
  <c r="F183" i="3"/>
  <c r="F188" i="3" s="1"/>
  <c r="F178" i="3"/>
  <c r="F174" i="3"/>
  <c r="F163" i="3"/>
  <c r="F159" i="3"/>
  <c r="F154" i="3"/>
  <c r="F150" i="3"/>
  <c r="F142" i="3"/>
  <c r="F138" i="3"/>
  <c r="F134" i="3"/>
  <c r="F130" i="3"/>
  <c r="F122" i="3"/>
  <c r="F118" i="3"/>
  <c r="F114" i="3"/>
  <c r="F110" i="3"/>
  <c r="F99" i="3"/>
  <c r="F95" i="3"/>
  <c r="F86" i="3"/>
  <c r="F82" i="3"/>
  <c r="F77" i="3"/>
  <c r="F73" i="3"/>
  <c r="F66" i="3"/>
  <c r="F62" i="3"/>
  <c r="F57" i="3"/>
  <c r="F53" i="3"/>
  <c r="F44" i="3"/>
  <c r="F40" i="3"/>
  <c r="F35" i="3"/>
  <c r="F31" i="3"/>
  <c r="F22" i="3"/>
  <c r="F18" i="3"/>
  <c r="F13" i="3"/>
  <c r="F9" i="3"/>
  <c r="F164" i="3" l="1"/>
  <c r="F155" i="3"/>
  <c r="F78" i="3"/>
  <c r="F45" i="3"/>
  <c r="F36" i="3"/>
  <c r="F58" i="3"/>
  <c r="F87" i="3"/>
  <c r="F23" i="3"/>
  <c r="F67" i="3"/>
  <c r="F14" i="3"/>
  <c r="F179" i="3"/>
  <c r="F100" i="3"/>
  <c r="U23" i="8"/>
  <c r="U24" i="8" s="1"/>
  <c r="U39" i="8"/>
  <c r="U22" i="8"/>
  <c r="U21" i="8"/>
  <c r="S11" i="6" l="1"/>
  <c r="T37" i="8" l="1"/>
  <c r="T38" i="8"/>
  <c r="T36" i="8"/>
  <c r="T32" i="8"/>
  <c r="T14" i="8"/>
  <c r="T22" i="8" s="1"/>
  <c r="T12" i="8"/>
  <c r="T13" i="8"/>
  <c r="S38" i="8"/>
  <c r="S37" i="8"/>
  <c r="S36" i="8"/>
  <c r="S32" i="8"/>
  <c r="S14" i="8"/>
  <c r="S22" i="8" s="1"/>
  <c r="S13" i="8"/>
  <c r="S12" i="8"/>
  <c r="T11" i="8"/>
  <c r="S11" i="8"/>
  <c r="T42" i="8" l="1"/>
  <c r="T19" i="8"/>
  <c r="S34" i="8"/>
  <c r="S33" i="8" s="1"/>
  <c r="S43" i="8"/>
  <c r="S44" i="8" s="1"/>
  <c r="S17" i="8"/>
  <c r="S19" i="8"/>
  <c r="S18" i="8" s="1"/>
  <c r="T34" i="8"/>
  <c r="T33" i="8" s="1"/>
  <c r="S42" i="8"/>
  <c r="T21" i="8"/>
  <c r="T17" i="8"/>
  <c r="T23" i="8"/>
  <c r="S23" i="8"/>
  <c r="S21" i="8"/>
  <c r="T18" i="8" l="1"/>
  <c r="S26" i="8"/>
  <c r="S27" i="8" s="1"/>
  <c r="T43" i="8"/>
  <c r="T44" i="8" s="1"/>
  <c r="S28" i="8"/>
  <c r="S45" i="8"/>
  <c r="T45" i="8"/>
  <c r="T26" i="8"/>
  <c r="T27" i="8" s="1"/>
  <c r="S47" i="8" l="1"/>
  <c r="T28" i="8"/>
  <c r="S48" i="8"/>
  <c r="T48" i="8" l="1"/>
  <c r="T47" i="8"/>
  <c r="T37" i="6" l="1"/>
  <c r="T36" i="6"/>
  <c r="T35" i="6"/>
  <c r="T31" i="6"/>
  <c r="T14" i="6"/>
  <c r="T12" i="6"/>
  <c r="T13" i="6"/>
  <c r="T11" i="6"/>
  <c r="S37" i="6"/>
  <c r="S36" i="6"/>
  <c r="S35" i="6"/>
  <c r="S31" i="6"/>
  <c r="S14" i="6"/>
  <c r="S13" i="6"/>
  <c r="S12" i="6"/>
  <c r="S23" i="6" s="1"/>
  <c r="R11" i="6"/>
  <c r="S22" i="6" l="1"/>
  <c r="S25" i="6"/>
  <c r="S24" i="6" s="1"/>
  <c r="T41" i="6"/>
  <c r="T40" i="6" s="1"/>
  <c r="T22" i="6"/>
  <c r="S41" i="6"/>
  <c r="S40" i="6" s="1"/>
  <c r="T33" i="6"/>
  <c r="T32" i="6" s="1"/>
  <c r="S21" i="6"/>
  <c r="S39" i="6"/>
  <c r="S38" i="6" s="1"/>
  <c r="S33" i="6"/>
  <c r="S32" i="6" s="1"/>
  <c r="T17" i="6"/>
  <c r="T19" i="6"/>
  <c r="S19" i="6"/>
  <c r="S17" i="6"/>
  <c r="T25" i="6"/>
  <c r="T39" i="6"/>
  <c r="T38" i="6" s="1"/>
  <c r="T23" i="6"/>
  <c r="T21" i="6"/>
  <c r="T26" i="6" l="1"/>
  <c r="T27" i="6" s="1"/>
  <c r="T18" i="6"/>
  <c r="S44" i="6"/>
  <c r="S18" i="6"/>
  <c r="T42" i="6"/>
  <c r="T43" i="6" s="1"/>
  <c r="S42" i="6"/>
  <c r="S43" i="6" s="1"/>
  <c r="T24" i="6"/>
  <c r="S26" i="6"/>
  <c r="S27" i="6" s="1"/>
  <c r="S28" i="6" l="1"/>
  <c r="T28" i="6"/>
  <c r="S46" i="6"/>
  <c r="T44" i="6"/>
  <c r="T46" i="6" l="1"/>
  <c r="T47" i="6"/>
  <c r="S47" i="6"/>
  <c r="Q11" i="6" l="1"/>
  <c r="I97" i="3" l="1"/>
  <c r="I98" i="3"/>
  <c r="I96" i="3"/>
  <c r="I93" i="3"/>
  <c r="I94" i="3"/>
  <c r="I92" i="3"/>
  <c r="J92" i="3" l="1"/>
  <c r="J96" i="3"/>
  <c r="J93" i="3" l="1"/>
  <c r="J94" i="3" l="1"/>
  <c r="J97" i="3" l="1"/>
  <c r="J98" i="3" l="1"/>
  <c r="U19" i="8" l="1"/>
  <c r="U42" i="8"/>
  <c r="U41" i="8" s="1"/>
  <c r="U34" i="8"/>
  <c r="U33" i="8" s="1"/>
  <c r="U17" i="8"/>
  <c r="U43" i="8"/>
  <c r="U44" i="8" s="1"/>
  <c r="Q42" i="8"/>
  <c r="R42" i="8"/>
  <c r="U26" i="8" l="1"/>
  <c r="U27" i="8" s="1"/>
  <c r="U45" i="8"/>
  <c r="U18" i="8"/>
  <c r="R47" i="8"/>
  <c r="U28" i="8" l="1"/>
  <c r="U47" i="8" l="1"/>
  <c r="U48" i="8"/>
  <c r="Q39" i="6" l="1"/>
  <c r="S50" i="8" l="1"/>
  <c r="S51" i="8" s="1"/>
  <c r="U41" i="6"/>
  <c r="U40" i="6" s="1"/>
  <c r="U39" i="6"/>
  <c r="U38" i="6" s="1"/>
  <c r="U17" i="6"/>
  <c r="R41" i="6"/>
  <c r="R39" i="6"/>
  <c r="Q41" i="6"/>
  <c r="U42" i="6" l="1"/>
  <c r="U43" i="6" s="1"/>
  <c r="U19" i="6"/>
  <c r="U18" i="6" s="1"/>
  <c r="U44" i="6" l="1"/>
  <c r="U33" i="6"/>
  <c r="U32" i="6" s="1"/>
  <c r="U50" i="8" l="1"/>
  <c r="U51" i="8" s="1"/>
  <c r="T50" i="8"/>
  <c r="T51" i="8" s="1"/>
  <c r="Q25" i="6"/>
  <c r="U25" i="6" l="1"/>
  <c r="U24" i="6" s="1"/>
  <c r="R25" i="6" l="1"/>
  <c r="U26" i="6" l="1"/>
  <c r="U27" i="6" s="1"/>
  <c r="U46" i="6" l="1"/>
  <c r="U28" i="6"/>
  <c r="U47" i="6"/>
  <c r="U49" i="6" l="1"/>
  <c r="U50" i="6" s="1"/>
  <c r="R50" i="8" l="1"/>
  <c r="Q36" i="8"/>
  <c r="R36" i="8"/>
  <c r="Q37" i="8"/>
  <c r="R37" i="8"/>
  <c r="Q38" i="8"/>
  <c r="R38" i="8"/>
  <c r="Q11" i="8"/>
  <c r="Q12" i="8"/>
  <c r="R12" i="8"/>
  <c r="Q13" i="8"/>
  <c r="R13" i="8"/>
  <c r="Q14" i="8"/>
  <c r="R14" i="8"/>
  <c r="R35" i="6"/>
  <c r="Q35" i="6"/>
  <c r="Q36" i="6"/>
  <c r="R36" i="6"/>
  <c r="Q37" i="6"/>
  <c r="R37" i="6"/>
  <c r="R40" i="6" s="1"/>
  <c r="Q38" i="6" l="1"/>
  <c r="Q40" i="6"/>
  <c r="R38" i="6"/>
  <c r="Q21" i="8"/>
  <c r="R23" i="8"/>
  <c r="Q22" i="8"/>
  <c r="R21" i="8"/>
  <c r="Q23" i="8"/>
  <c r="R22" i="8"/>
  <c r="S49" i="6" l="1"/>
  <c r="S50" i="6" s="1"/>
  <c r="R13" i="6"/>
  <c r="R21" i="6" s="1"/>
  <c r="R14" i="6"/>
  <c r="R22" i="6" s="1"/>
  <c r="Q13" i="6"/>
  <c r="Q21" i="6" s="1"/>
  <c r="Q14" i="6"/>
  <c r="Q22" i="6" s="1"/>
  <c r="R17" i="6" l="1"/>
  <c r="Q17" i="6"/>
  <c r="Q12" i="6"/>
  <c r="Q23" i="6" s="1"/>
  <c r="R12" i="6"/>
  <c r="R23" i="6" s="1"/>
  <c r="R24" i="6" s="1"/>
  <c r="T49" i="6" l="1"/>
  <c r="T50" i="6" s="1"/>
  <c r="R19" i="8"/>
  <c r="R17" i="8"/>
  <c r="R18" i="8" l="1"/>
  <c r="C101" i="9" l="1"/>
  <c r="C96" i="9"/>
  <c r="B96" i="9"/>
  <c r="H95" i="9"/>
  <c r="I95" i="9" s="1"/>
  <c r="J95" i="9" s="1"/>
  <c r="K95" i="9" s="1"/>
  <c r="L95" i="9" s="1"/>
  <c r="M95" i="9" s="1"/>
  <c r="N95" i="9" s="1"/>
  <c r="O95" i="9" s="1"/>
  <c r="E95" i="9"/>
  <c r="F95" i="9" s="1"/>
  <c r="C95" i="9"/>
  <c r="C94" i="9"/>
  <c r="B94" i="9"/>
  <c r="B91" i="9"/>
  <c r="B89" i="9"/>
  <c r="D88" i="9"/>
  <c r="D89" i="9" s="1"/>
  <c r="B88" i="9"/>
  <c r="E87" i="9"/>
  <c r="E88" i="9" s="1"/>
  <c r="E89" i="9" s="1"/>
  <c r="E90" i="9" s="1"/>
  <c r="B87" i="9"/>
  <c r="C84" i="9"/>
  <c r="B84" i="9"/>
  <c r="C83" i="9"/>
  <c r="B83" i="9"/>
  <c r="C82" i="9"/>
  <c r="B82" i="9"/>
  <c r="O80" i="9"/>
  <c r="N80" i="9"/>
  <c r="M80" i="9"/>
  <c r="L80" i="9"/>
  <c r="K80" i="9"/>
  <c r="J80" i="9"/>
  <c r="I80" i="9"/>
  <c r="H80" i="9"/>
  <c r="G80" i="9"/>
  <c r="F80" i="9"/>
  <c r="E80" i="9"/>
  <c r="D80" i="9"/>
  <c r="B80" i="9"/>
  <c r="C79" i="9"/>
  <c r="B79" i="9"/>
  <c r="T78" i="9"/>
  <c r="S78" i="9"/>
  <c r="R78" i="9"/>
  <c r="Q78" i="9"/>
  <c r="P78" i="9"/>
  <c r="C78" i="9"/>
  <c r="B78" i="9"/>
  <c r="B77" i="9"/>
  <c r="B74" i="9"/>
  <c r="B72" i="9"/>
  <c r="O69" i="9"/>
  <c r="N69" i="9"/>
  <c r="M69" i="9"/>
  <c r="L69" i="9"/>
  <c r="K69" i="9"/>
  <c r="J69" i="9"/>
  <c r="I69" i="9"/>
  <c r="H69" i="9"/>
  <c r="G69" i="9"/>
  <c r="F69" i="9"/>
  <c r="E69" i="9"/>
  <c r="D69" i="9"/>
  <c r="B69" i="9"/>
  <c r="O68" i="9"/>
  <c r="N68" i="9"/>
  <c r="M68" i="9"/>
  <c r="L68" i="9"/>
  <c r="K68" i="9"/>
  <c r="J68" i="9"/>
  <c r="I68" i="9"/>
  <c r="I72" i="9" s="1"/>
  <c r="H68" i="9"/>
  <c r="G68" i="9"/>
  <c r="F68" i="9"/>
  <c r="E68" i="9"/>
  <c r="D68" i="9"/>
  <c r="B68" i="9"/>
  <c r="O67" i="9"/>
  <c r="O72" i="9" s="1"/>
  <c r="N67" i="9"/>
  <c r="M67" i="9"/>
  <c r="L67" i="9"/>
  <c r="K67" i="9"/>
  <c r="K72" i="9" s="1"/>
  <c r="K73" i="9" s="1"/>
  <c r="J67" i="9"/>
  <c r="J72" i="9" s="1"/>
  <c r="I67" i="9"/>
  <c r="H67" i="9"/>
  <c r="H72" i="9" s="1"/>
  <c r="G67" i="9"/>
  <c r="G72" i="9" s="1"/>
  <c r="F67" i="9"/>
  <c r="E67" i="9"/>
  <c r="E72" i="9" s="1"/>
  <c r="D67" i="9"/>
  <c r="B67" i="9"/>
  <c r="B65" i="9"/>
  <c r="C64" i="9"/>
  <c r="B64" i="9"/>
  <c r="O63" i="9"/>
  <c r="O65" i="9" s="1"/>
  <c r="N63" i="9"/>
  <c r="N65" i="9" s="1"/>
  <c r="M63" i="9"/>
  <c r="L63" i="9"/>
  <c r="L65" i="9" s="1"/>
  <c r="K63" i="9"/>
  <c r="K65" i="9" s="1"/>
  <c r="J63" i="9"/>
  <c r="J65" i="9" s="1"/>
  <c r="I63" i="9"/>
  <c r="I65" i="9" s="1"/>
  <c r="H63" i="9"/>
  <c r="H65" i="9" s="1"/>
  <c r="H74" i="9" s="1"/>
  <c r="G63" i="9"/>
  <c r="G65" i="9" s="1"/>
  <c r="F63" i="9"/>
  <c r="F65" i="9" s="1"/>
  <c r="E63" i="9"/>
  <c r="E65" i="9" s="1"/>
  <c r="D63" i="9"/>
  <c r="D65" i="9" s="1"/>
  <c r="B63" i="9"/>
  <c r="B62" i="9"/>
  <c r="C53" i="9"/>
  <c r="C99" i="9" s="1"/>
  <c r="H49" i="9"/>
  <c r="I49" i="9" s="1"/>
  <c r="J49" i="9" s="1"/>
  <c r="K49" i="9" s="1"/>
  <c r="L49" i="9" s="1"/>
  <c r="M49" i="9" s="1"/>
  <c r="N49" i="9" s="1"/>
  <c r="O49" i="9" s="1"/>
  <c r="E49" i="9"/>
  <c r="F49" i="9" s="1"/>
  <c r="C47" i="9"/>
  <c r="C93" i="9" s="1"/>
  <c r="C45" i="9"/>
  <c r="C91" i="9" s="1"/>
  <c r="C43" i="9"/>
  <c r="C89" i="9" s="1"/>
  <c r="D42" i="9"/>
  <c r="D43" i="9" s="1"/>
  <c r="C42" i="9"/>
  <c r="C88" i="9" s="1"/>
  <c r="E41" i="9"/>
  <c r="E42" i="9" s="1"/>
  <c r="E43" i="9" s="1"/>
  <c r="E44" i="9" s="1"/>
  <c r="O34" i="9"/>
  <c r="N34" i="9"/>
  <c r="M34" i="9"/>
  <c r="L34" i="9"/>
  <c r="K34" i="9"/>
  <c r="J34" i="9"/>
  <c r="I34" i="9"/>
  <c r="H34" i="9"/>
  <c r="G34" i="9"/>
  <c r="F34" i="9"/>
  <c r="E34" i="9"/>
  <c r="D34" i="9"/>
  <c r="C34" i="9"/>
  <c r="C80" i="9" s="1"/>
  <c r="T32" i="9"/>
  <c r="S32" i="9"/>
  <c r="R32" i="9"/>
  <c r="Q32" i="9"/>
  <c r="P32" i="9"/>
  <c r="C28" i="9"/>
  <c r="C74" i="9" s="1"/>
  <c r="C26" i="9"/>
  <c r="C72" i="9" s="1"/>
  <c r="O23" i="9"/>
  <c r="N23" i="9"/>
  <c r="M23" i="9"/>
  <c r="L23" i="9"/>
  <c r="K23" i="9"/>
  <c r="J23" i="9"/>
  <c r="I23" i="9"/>
  <c r="H23" i="9"/>
  <c r="G23" i="9"/>
  <c r="F23" i="9"/>
  <c r="E23" i="9"/>
  <c r="D23" i="9"/>
  <c r="C23" i="9"/>
  <c r="C69" i="9" s="1"/>
  <c r="O22" i="9"/>
  <c r="N22" i="9"/>
  <c r="M22" i="9"/>
  <c r="L22" i="9"/>
  <c r="K22" i="9"/>
  <c r="J22" i="9"/>
  <c r="I22" i="9"/>
  <c r="H22" i="9"/>
  <c r="G22" i="9"/>
  <c r="F22" i="9"/>
  <c r="E22" i="9"/>
  <c r="D22" i="9"/>
  <c r="C22" i="9"/>
  <c r="C68" i="9" s="1"/>
  <c r="O21" i="9"/>
  <c r="N21" i="9"/>
  <c r="M21" i="9"/>
  <c r="L21" i="9"/>
  <c r="K21" i="9"/>
  <c r="J21" i="9"/>
  <c r="J26" i="9" s="1"/>
  <c r="I21" i="9"/>
  <c r="I26" i="9" s="1"/>
  <c r="H21" i="9"/>
  <c r="G21" i="9"/>
  <c r="F21" i="9"/>
  <c r="E21" i="9"/>
  <c r="E26" i="9" s="1"/>
  <c r="D21" i="9"/>
  <c r="C21" i="9"/>
  <c r="C67" i="9" s="1"/>
  <c r="C19" i="9"/>
  <c r="C65" i="9" s="1"/>
  <c r="O17" i="9"/>
  <c r="O19" i="9" s="1"/>
  <c r="N17" i="9"/>
  <c r="N19" i="9" s="1"/>
  <c r="M17" i="9"/>
  <c r="L17" i="9"/>
  <c r="L19" i="9" s="1"/>
  <c r="K17" i="9"/>
  <c r="K19" i="9" s="1"/>
  <c r="J17" i="9"/>
  <c r="I17" i="9"/>
  <c r="I19" i="9" s="1"/>
  <c r="H17" i="9"/>
  <c r="H19" i="9" s="1"/>
  <c r="G17" i="9"/>
  <c r="G19" i="9" s="1"/>
  <c r="F17" i="9"/>
  <c r="F19" i="9" s="1"/>
  <c r="E17" i="9"/>
  <c r="E19" i="9" s="1"/>
  <c r="D17" i="9"/>
  <c r="D19" i="9" s="1"/>
  <c r="C17" i="9"/>
  <c r="C63" i="9" s="1"/>
  <c r="E7" i="9"/>
  <c r="F7" i="9" s="1"/>
  <c r="G7" i="9" s="1"/>
  <c r="H7" i="9" s="1"/>
  <c r="I7" i="9" s="1"/>
  <c r="J7" i="9" s="1"/>
  <c r="K7" i="9" s="1"/>
  <c r="L7" i="9" s="1"/>
  <c r="M7" i="9" s="1"/>
  <c r="N7" i="9" s="1"/>
  <c r="O7" i="9" s="1"/>
  <c r="R32" i="8"/>
  <c r="Q32" i="8"/>
  <c r="R34" i="8"/>
  <c r="E7" i="8"/>
  <c r="F7" i="8" s="1"/>
  <c r="G7" i="8" s="1"/>
  <c r="H7" i="8" s="1"/>
  <c r="I7" i="8" s="1"/>
  <c r="J7" i="8" s="1"/>
  <c r="K7" i="8" s="1"/>
  <c r="L7" i="8" s="1"/>
  <c r="M7" i="8" s="1"/>
  <c r="N7" i="8" s="1"/>
  <c r="O7" i="8" s="1"/>
  <c r="F87" i="9" l="1"/>
  <c r="E27" i="9"/>
  <c r="F26" i="9"/>
  <c r="F27" i="9" s="1"/>
  <c r="N26" i="9"/>
  <c r="N27" i="9" s="1"/>
  <c r="F72" i="9"/>
  <c r="F73" i="9" s="1"/>
  <c r="N72" i="9"/>
  <c r="N73" i="9" s="1"/>
  <c r="I73" i="9"/>
  <c r="T80" i="9"/>
  <c r="T79" i="9" s="1"/>
  <c r="I27" i="9"/>
  <c r="K74" i="9"/>
  <c r="S80" i="9"/>
  <c r="S79" i="9" s="1"/>
  <c r="J27" i="9"/>
  <c r="M26" i="9"/>
  <c r="J73" i="9"/>
  <c r="F28" i="9"/>
  <c r="R17" i="9"/>
  <c r="J74" i="9"/>
  <c r="G73" i="9"/>
  <c r="E91" i="9"/>
  <c r="Q19" i="9"/>
  <c r="D26" i="9"/>
  <c r="D28" i="9" s="1"/>
  <c r="L26" i="9"/>
  <c r="L27" i="9" s="1"/>
  <c r="G26" i="9"/>
  <c r="O26" i="9"/>
  <c r="O27" i="9" s="1"/>
  <c r="T17" i="9"/>
  <c r="F41" i="9"/>
  <c r="F42" i="9" s="1"/>
  <c r="F43" i="9" s="1"/>
  <c r="F44" i="9" s="1"/>
  <c r="E28" i="9"/>
  <c r="S17" i="9"/>
  <c r="J19" i="9"/>
  <c r="J28" i="9" s="1"/>
  <c r="J48" i="9" s="1"/>
  <c r="R34" i="9"/>
  <c r="R33" i="9" s="1"/>
  <c r="Q80" i="9"/>
  <c r="Q79" i="9" s="1"/>
  <c r="N28" i="9"/>
  <c r="H26" i="9"/>
  <c r="H27" i="9" s="1"/>
  <c r="K26" i="9"/>
  <c r="K27" i="9" s="1"/>
  <c r="T34" i="9"/>
  <c r="T33" i="9" s="1"/>
  <c r="D72" i="9"/>
  <c r="D73" i="9" s="1"/>
  <c r="L72" i="9"/>
  <c r="R72" i="9" s="1"/>
  <c r="R80" i="9"/>
  <c r="R79" i="9" s="1"/>
  <c r="E73" i="9"/>
  <c r="I28" i="9"/>
  <c r="S34" i="9"/>
  <c r="S33" i="9" s="1"/>
  <c r="G27" i="9"/>
  <c r="K94" i="9"/>
  <c r="N48" i="9"/>
  <c r="E48" i="9"/>
  <c r="I48" i="9"/>
  <c r="O28" i="9"/>
  <c r="F45" i="9"/>
  <c r="F47" i="9" s="1"/>
  <c r="D74" i="9"/>
  <c r="P65" i="9"/>
  <c r="F48" i="9"/>
  <c r="K28" i="9"/>
  <c r="S26" i="9"/>
  <c r="S27" i="9" s="1"/>
  <c r="E74" i="9"/>
  <c r="J94" i="9"/>
  <c r="O73" i="9"/>
  <c r="O74" i="9"/>
  <c r="H28" i="9"/>
  <c r="Q17" i="9"/>
  <c r="Q18" i="9" s="1"/>
  <c r="P43" i="9"/>
  <c r="P44" i="9" s="1"/>
  <c r="G28" i="9"/>
  <c r="G41" i="9"/>
  <c r="P63" i="9"/>
  <c r="G74" i="9"/>
  <c r="P17" i="9"/>
  <c r="M19" i="9"/>
  <c r="E45" i="9"/>
  <c r="E47" i="9" s="1"/>
  <c r="Q34" i="9"/>
  <c r="Q33" i="9" s="1"/>
  <c r="R63" i="9"/>
  <c r="N74" i="9"/>
  <c r="T63" i="9"/>
  <c r="Q65" i="9"/>
  <c r="D90" i="9"/>
  <c r="D91" i="9"/>
  <c r="H94" i="9"/>
  <c r="D45" i="9"/>
  <c r="F74" i="9"/>
  <c r="R26" i="9"/>
  <c r="R27" i="9" s="1"/>
  <c r="M27" i="9"/>
  <c r="R65" i="9"/>
  <c r="P19" i="9"/>
  <c r="P34" i="9"/>
  <c r="P33" i="9" s="1"/>
  <c r="D44" i="9"/>
  <c r="I74" i="9"/>
  <c r="M65" i="9"/>
  <c r="S63" i="9"/>
  <c r="Q63" i="9"/>
  <c r="M72" i="9"/>
  <c r="Q72" i="9"/>
  <c r="H73" i="9"/>
  <c r="P80" i="9"/>
  <c r="P79" i="9" s="1"/>
  <c r="P72" i="9"/>
  <c r="Q34" i="8"/>
  <c r="Q33" i="8" s="1"/>
  <c r="Q17" i="8"/>
  <c r="R33" i="8"/>
  <c r="R31" i="6"/>
  <c r="Q31" i="6"/>
  <c r="Q26" i="9" l="1"/>
  <c r="Q27" i="9" s="1"/>
  <c r="R73" i="9"/>
  <c r="G87" i="9"/>
  <c r="F88" i="9"/>
  <c r="F89" i="9" s="1"/>
  <c r="P26" i="9"/>
  <c r="T26" i="9"/>
  <c r="T27" i="9" s="1"/>
  <c r="D27" i="9"/>
  <c r="L74" i="9"/>
  <c r="L73" i="9"/>
  <c r="T19" i="9"/>
  <c r="T18" i="9" s="1"/>
  <c r="R19" i="9"/>
  <c r="R18" i="9" s="1"/>
  <c r="T72" i="9"/>
  <c r="T73" i="9" s="1"/>
  <c r="P18" i="9"/>
  <c r="L28" i="9"/>
  <c r="L48" i="9" s="1"/>
  <c r="R26" i="8"/>
  <c r="R27" i="8" s="1"/>
  <c r="Q26" i="8"/>
  <c r="Q27" i="8" s="1"/>
  <c r="S65" i="9"/>
  <c r="S64" i="9" s="1"/>
  <c r="M74" i="9"/>
  <c r="S19" i="9"/>
  <c r="S18" i="9" s="1"/>
  <c r="M28" i="9"/>
  <c r="H48" i="9"/>
  <c r="O94" i="9"/>
  <c r="P74" i="9"/>
  <c r="D94" i="9"/>
  <c r="D93" i="9"/>
  <c r="I94" i="9"/>
  <c r="N94" i="9"/>
  <c r="E93" i="9"/>
  <c r="E94" i="9"/>
  <c r="K48" i="9"/>
  <c r="R48" i="9" s="1"/>
  <c r="Q73" i="9"/>
  <c r="R64" i="9"/>
  <c r="P45" i="9"/>
  <c r="Q64" i="9"/>
  <c r="G48" i="9"/>
  <c r="Q48" i="9" s="1"/>
  <c r="Q28" i="9"/>
  <c r="T65" i="9"/>
  <c r="T64" i="9" s="1"/>
  <c r="P27" i="9"/>
  <c r="M73" i="9"/>
  <c r="S72" i="9"/>
  <c r="S73" i="9" s="1"/>
  <c r="P73" i="9"/>
  <c r="F94" i="9"/>
  <c r="G94" i="9"/>
  <c r="Q74" i="9"/>
  <c r="G42" i="9"/>
  <c r="G43" i="9" s="1"/>
  <c r="H41" i="9"/>
  <c r="P64" i="9"/>
  <c r="O48" i="9"/>
  <c r="D47" i="9"/>
  <c r="T28" i="9"/>
  <c r="P28" i="9"/>
  <c r="D48" i="9"/>
  <c r="Q19" i="8"/>
  <c r="Q18" i="8" s="1"/>
  <c r="E7" i="6"/>
  <c r="F7" i="6" s="1"/>
  <c r="G7" i="6" s="1"/>
  <c r="H7" i="6" s="1"/>
  <c r="I7" i="6" s="1"/>
  <c r="J7" i="6" s="1"/>
  <c r="K7" i="6" s="1"/>
  <c r="L7" i="6" s="1"/>
  <c r="M7" i="6" s="1"/>
  <c r="N7" i="6" s="1"/>
  <c r="O7" i="6" s="1"/>
  <c r="F90" i="9" l="1"/>
  <c r="F91" i="9"/>
  <c r="P89" i="9"/>
  <c r="P90" i="9" s="1"/>
  <c r="G88" i="9"/>
  <c r="G89" i="9" s="1"/>
  <c r="H87" i="9"/>
  <c r="R28" i="9"/>
  <c r="Q94" i="9"/>
  <c r="L94" i="9"/>
  <c r="R94" i="9" s="1"/>
  <c r="R74" i="9"/>
  <c r="R19" i="6"/>
  <c r="R18" i="6" s="1"/>
  <c r="Q19" i="6"/>
  <c r="Q18" i="6" s="1"/>
  <c r="R33" i="6"/>
  <c r="R32" i="6" s="1"/>
  <c r="Q33" i="6"/>
  <c r="Q32" i="6" s="1"/>
  <c r="P94" i="9"/>
  <c r="P48" i="9"/>
  <c r="G44" i="9"/>
  <c r="G45" i="9"/>
  <c r="S74" i="9"/>
  <c r="M94" i="9"/>
  <c r="S94" i="9" s="1"/>
  <c r="T74" i="9"/>
  <c r="D50" i="9"/>
  <c r="P47" i="9"/>
  <c r="H42" i="9"/>
  <c r="H43" i="9" s="1"/>
  <c r="I41" i="9"/>
  <c r="D96" i="9"/>
  <c r="D97" i="9" s="1"/>
  <c r="M48" i="9"/>
  <c r="S48" i="9" s="1"/>
  <c r="S28" i="9"/>
  <c r="R48" i="8"/>
  <c r="R28" i="8"/>
  <c r="Q28" i="8"/>
  <c r="Q48" i="8"/>
  <c r="H88" i="9" l="1"/>
  <c r="H89" i="9" s="1"/>
  <c r="I87" i="9"/>
  <c r="G91" i="9"/>
  <c r="G93" i="9" s="1"/>
  <c r="G90" i="9"/>
  <c r="D99" i="9"/>
  <c r="F93" i="9"/>
  <c r="P93" i="9" s="1"/>
  <c r="P91" i="9"/>
  <c r="T48" i="9"/>
  <c r="I42" i="9"/>
  <c r="I43" i="9" s="1"/>
  <c r="J41" i="9"/>
  <c r="G47" i="9"/>
  <c r="H44" i="9"/>
  <c r="H45" i="9"/>
  <c r="H47" i="9" s="1"/>
  <c r="D53" i="9"/>
  <c r="D51" i="9"/>
  <c r="Q43" i="9"/>
  <c r="Q44" i="9" s="1"/>
  <c r="E99" i="9"/>
  <c r="E96" i="9"/>
  <c r="E97" i="9" s="1"/>
  <c r="T94" i="9"/>
  <c r="I88" i="9" l="1"/>
  <c r="I89" i="9" s="1"/>
  <c r="J87" i="9"/>
  <c r="H90" i="9"/>
  <c r="H91" i="9"/>
  <c r="F96" i="9"/>
  <c r="D101" i="9"/>
  <c r="E50" i="9"/>
  <c r="E53" i="9" s="1"/>
  <c r="K41" i="9"/>
  <c r="J42" i="9"/>
  <c r="J43" i="9" s="1"/>
  <c r="I44" i="9"/>
  <c r="I45" i="9"/>
  <c r="Q45" i="9" s="1"/>
  <c r="I91" i="9" l="1"/>
  <c r="I93" i="9" s="1"/>
  <c r="I90" i="9"/>
  <c r="Q89" i="9"/>
  <c r="Q90" i="9" s="1"/>
  <c r="H93" i="9"/>
  <c r="K87" i="9"/>
  <c r="J88" i="9"/>
  <c r="J89" i="9" s="1"/>
  <c r="J44" i="9"/>
  <c r="J45" i="9"/>
  <c r="F97" i="9"/>
  <c r="P96" i="9"/>
  <c r="P97" i="9" s="1"/>
  <c r="K42" i="9"/>
  <c r="K43" i="9" s="1"/>
  <c r="L41" i="9"/>
  <c r="E101" i="9"/>
  <c r="F50" i="9"/>
  <c r="F51" i="9" s="1"/>
  <c r="E51" i="9"/>
  <c r="I47" i="9"/>
  <c r="F99" i="9"/>
  <c r="Q43" i="8"/>
  <c r="Q44" i="8" s="1"/>
  <c r="L87" i="9" l="1"/>
  <c r="K88" i="9"/>
  <c r="K89" i="9" s="1"/>
  <c r="J91" i="9"/>
  <c r="J93" i="9" s="1"/>
  <c r="J90" i="9"/>
  <c r="Q91" i="9"/>
  <c r="Q93" i="9"/>
  <c r="P50" i="9"/>
  <c r="P51" i="9" s="1"/>
  <c r="F53" i="9"/>
  <c r="F101" i="9" s="1"/>
  <c r="J47" i="9"/>
  <c r="L42" i="9"/>
  <c r="L43" i="9" s="1"/>
  <c r="M41" i="9"/>
  <c r="G96" i="9"/>
  <c r="K44" i="9"/>
  <c r="K45" i="9"/>
  <c r="K47" i="9" s="1"/>
  <c r="Q47" i="9"/>
  <c r="G50" i="9" l="1"/>
  <c r="G51" i="9" s="1"/>
  <c r="L88" i="9"/>
  <c r="L89" i="9" s="1"/>
  <c r="M87" i="9"/>
  <c r="K90" i="9"/>
  <c r="K91" i="9"/>
  <c r="L44" i="9"/>
  <c r="L45" i="9"/>
  <c r="R43" i="9"/>
  <c r="R44" i="9" s="1"/>
  <c r="G97" i="9"/>
  <c r="G99" i="9"/>
  <c r="R45" i="9"/>
  <c r="M42" i="9"/>
  <c r="M43" i="9" s="1"/>
  <c r="N41" i="9"/>
  <c r="Q45" i="8"/>
  <c r="G53" i="9" l="1"/>
  <c r="H50" i="9" s="1"/>
  <c r="K93" i="9"/>
  <c r="M88" i="9"/>
  <c r="M89" i="9" s="1"/>
  <c r="N87" i="9"/>
  <c r="L90" i="9"/>
  <c r="L91" i="9"/>
  <c r="L93" i="9" s="1"/>
  <c r="R89" i="9"/>
  <c r="R90" i="9" s="1"/>
  <c r="R43" i="8"/>
  <c r="R44" i="8" s="1"/>
  <c r="N42" i="9"/>
  <c r="N43" i="9" s="1"/>
  <c r="O41" i="9"/>
  <c r="O42" i="9" s="1"/>
  <c r="O43" i="9" s="1"/>
  <c r="M44" i="9"/>
  <c r="M45" i="9"/>
  <c r="L47" i="9"/>
  <c r="H96" i="9"/>
  <c r="Q47" i="8"/>
  <c r="S43" i="9" l="1"/>
  <c r="S44" i="9" s="1"/>
  <c r="M91" i="9"/>
  <c r="M90" i="9"/>
  <c r="N88" i="9"/>
  <c r="N89" i="9" s="1"/>
  <c r="T89" i="9" s="1"/>
  <c r="T90" i="9" s="1"/>
  <c r="O87" i="9"/>
  <c r="O88" i="9" s="1"/>
  <c r="O89" i="9" s="1"/>
  <c r="G101" i="9"/>
  <c r="R91" i="9"/>
  <c r="R93" i="9"/>
  <c r="H97" i="9"/>
  <c r="R47" i="9"/>
  <c r="H51" i="9"/>
  <c r="O44" i="9"/>
  <c r="O45" i="9"/>
  <c r="T43" i="9"/>
  <c r="T44" i="9" s="1"/>
  <c r="H99" i="9"/>
  <c r="H53" i="9"/>
  <c r="M47" i="9"/>
  <c r="N44" i="9"/>
  <c r="N45" i="9"/>
  <c r="N47" i="9" s="1"/>
  <c r="R45" i="8"/>
  <c r="Q26" i="6"/>
  <c r="Q27" i="6" s="1"/>
  <c r="Q72" i="6" s="1"/>
  <c r="O90" i="9" l="1"/>
  <c r="O91" i="9"/>
  <c r="O93" i="9" s="1"/>
  <c r="N90" i="9"/>
  <c r="N91" i="9"/>
  <c r="N93" i="9" s="1"/>
  <c r="M93" i="9"/>
  <c r="S91" i="9"/>
  <c r="S89" i="9"/>
  <c r="S90" i="9" s="1"/>
  <c r="T91" i="9"/>
  <c r="S45" i="9"/>
  <c r="Q42" i="6"/>
  <c r="Q43" i="6" s="1"/>
  <c r="O47" i="9"/>
  <c r="T45" i="9"/>
  <c r="H101" i="9"/>
  <c r="I50" i="9"/>
  <c r="I96" i="9"/>
  <c r="Q28" i="6"/>
  <c r="T93" i="9" l="1"/>
  <c r="S93" i="9"/>
  <c r="Q44" i="6"/>
  <c r="I51" i="9"/>
  <c r="Q50" i="9"/>
  <c r="Q51" i="9" s="1"/>
  <c r="T47" i="9"/>
  <c r="I97" i="9"/>
  <c r="Q96" i="9"/>
  <c r="Q97" i="9" s="1"/>
  <c r="S47" i="9"/>
  <c r="I99" i="9"/>
  <c r="I53" i="9"/>
  <c r="R42" i="6"/>
  <c r="R43" i="6" s="1"/>
  <c r="Q46" i="6"/>
  <c r="Q47" i="6"/>
  <c r="J50" i="9" l="1"/>
  <c r="I101" i="9"/>
  <c r="J96" i="9"/>
  <c r="J99" i="9"/>
  <c r="R44" i="6" l="1"/>
  <c r="R26" i="6"/>
  <c r="R27" i="6" s="1"/>
  <c r="J51" i="9"/>
  <c r="K96" i="9"/>
  <c r="K97" i="9" s="1"/>
  <c r="J53" i="9"/>
  <c r="J97" i="9"/>
  <c r="Q50" i="8"/>
  <c r="Q51" i="8" s="1"/>
  <c r="R47" i="6" l="1"/>
  <c r="R28" i="6"/>
  <c r="J101" i="9"/>
  <c r="K50" i="9"/>
  <c r="K53" i="9" s="1"/>
  <c r="K99" i="9"/>
  <c r="R46" i="6" l="1"/>
  <c r="R49" i="6"/>
  <c r="K101" i="9"/>
  <c r="L50" i="9"/>
  <c r="L51" i="9" s="1"/>
  <c r="L96" i="9"/>
  <c r="L99" i="9"/>
  <c r="K51" i="9"/>
  <c r="R50" i="6" l="1"/>
  <c r="R50" i="9"/>
  <c r="R51" i="9" s="1"/>
  <c r="L53" i="9"/>
  <c r="M96" i="9"/>
  <c r="L97" i="9"/>
  <c r="R96" i="9"/>
  <c r="R97" i="9" s="1"/>
  <c r="M97" i="9" l="1"/>
  <c r="M99" i="9"/>
  <c r="L101" i="9"/>
  <c r="M50" i="9"/>
  <c r="M53" i="9" s="1"/>
  <c r="R51" i="8"/>
  <c r="Q49" i="6" l="1"/>
  <c r="Q50" i="6" s="1"/>
  <c r="N96" i="9"/>
  <c r="N50" i="9"/>
  <c r="N51" i="9" s="1"/>
  <c r="M101" i="9"/>
  <c r="M51" i="9"/>
  <c r="N53" i="9" l="1"/>
  <c r="O50" i="9" s="1"/>
  <c r="N97" i="9"/>
  <c r="N99" i="9"/>
  <c r="O51" i="9" l="1"/>
  <c r="T50" i="9"/>
  <c r="T51" i="9" s="1"/>
  <c r="S50" i="9"/>
  <c r="S51" i="9" s="1"/>
  <c r="O96" i="9"/>
  <c r="O99" i="9" s="1"/>
  <c r="O53" i="9"/>
  <c r="N101" i="9"/>
  <c r="O101" i="9" l="1"/>
  <c r="O97" i="9"/>
  <c r="T96" i="9"/>
  <c r="T97" i="9" s="1"/>
  <c r="S96" i="9"/>
  <c r="S97" i="9" s="1"/>
  <c r="Q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8" authorId="0" shapeId="0" xr:uid="{0D401527-C5AC-4EDF-A92D-0DB225A556C1}">
      <text>
        <r>
          <rPr>
            <b/>
            <sz val="9"/>
            <color indexed="81"/>
            <rFont val="Tahoma"/>
            <family val="2"/>
          </rPr>
          <t>Author:</t>
        </r>
        <r>
          <rPr>
            <sz val="9"/>
            <color indexed="81"/>
            <rFont val="Tahoma"/>
            <family val="2"/>
          </rPr>
          <t xml:space="preserve">
IPUC updates Customer Deposit Rate effective each January</t>
        </r>
      </text>
    </comment>
    <comment ref="D49" authorId="0" shapeId="0" xr:uid="{12DC1B15-27C1-4A25-930E-B161368BE095}">
      <text>
        <r>
          <rPr>
            <b/>
            <sz val="9"/>
            <color indexed="81"/>
            <rFont val="Tahoma"/>
            <family val="2"/>
          </rPr>
          <t>Author:</t>
        </r>
        <r>
          <rPr>
            <sz val="9"/>
            <color indexed="81"/>
            <rFont val="Tahoma"/>
            <family val="2"/>
          </rPr>
          <t xml:space="preserve">
First month in fiscal year, unique formula</t>
        </r>
      </text>
    </comment>
    <comment ref="D97" authorId="0" shapeId="0" xr:uid="{6BA4E82C-1C57-4908-94EF-5EFD21572735}">
      <text>
        <r>
          <rPr>
            <b/>
            <sz val="9"/>
            <color indexed="81"/>
            <rFont val="Tahoma"/>
            <family val="2"/>
          </rPr>
          <t>Author:</t>
        </r>
        <r>
          <rPr>
            <sz val="9"/>
            <color indexed="81"/>
            <rFont val="Tahoma"/>
            <family val="2"/>
          </rPr>
          <t xml:space="preserve">
First month in fiscal year, unique formula</t>
        </r>
      </text>
    </comment>
  </commentList>
</comments>
</file>

<file path=xl/sharedStrings.xml><?xml version="1.0" encoding="utf-8"?>
<sst xmlns="http://schemas.openxmlformats.org/spreadsheetml/2006/main" count="674" uniqueCount="170">
  <si>
    <t>Avista Utilities</t>
  </si>
  <si>
    <t>Line No.</t>
  </si>
  <si>
    <t>Source</t>
  </si>
  <si>
    <t>Total</t>
  </si>
  <si>
    <t>(a)</t>
  </si>
  <si>
    <t>(b)</t>
  </si>
  <si>
    <t>(c)</t>
  </si>
  <si>
    <t>(d)</t>
  </si>
  <si>
    <t>(e)</t>
  </si>
  <si>
    <t>(f)</t>
  </si>
  <si>
    <t>(g)</t>
  </si>
  <si>
    <t>(h)</t>
  </si>
  <si>
    <t>(i)</t>
  </si>
  <si>
    <t>(j)</t>
  </si>
  <si>
    <t>(k)</t>
  </si>
  <si>
    <t>(l)</t>
  </si>
  <si>
    <t>(m)</t>
  </si>
  <si>
    <t>(n)</t>
  </si>
  <si>
    <t>(o)</t>
  </si>
  <si>
    <t>Residential Group</t>
  </si>
  <si>
    <t>Actual Fixed Charge Revenue</t>
  </si>
  <si>
    <t>Residential Revenue Per Customer Received</t>
  </si>
  <si>
    <t>Deferral - Revenue Related Expenses</t>
  </si>
  <si>
    <t>Rev Conv Factor</t>
  </si>
  <si>
    <t>Interest on Deferral</t>
  </si>
  <si>
    <t>Monthly Residential Deferral Totals</t>
  </si>
  <si>
    <t>Non-Residential Group</t>
  </si>
  <si>
    <t>Non-Residential Revenue Per Customer Received</t>
  </si>
  <si>
    <t>Avg Balance Calc</t>
  </si>
  <si>
    <t>Monthly Non-Residential Deferral Totals</t>
  </si>
  <si>
    <t>Actual Base Rate Revenue</t>
  </si>
  <si>
    <t>Balance Sheet Accounts</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</si>
  <si>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</si>
  <si>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</si>
  <si>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</si>
  <si>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</si>
  <si>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</si>
  <si>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</si>
  <si>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</si>
  <si>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</si>
  <si>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</si>
  <si>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</si>
  <si>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</si>
  <si>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</si>
  <si>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</si>
  <si>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283328</t>
  </si>
  <si>
    <t>ADFIT DECOUPLING DEFERRED REV</t>
  </si>
  <si>
    <t>Income Statement Accounts</t>
  </si>
  <si>
    <t>Check</t>
  </si>
  <si>
    <t>NOTES</t>
  </si>
  <si>
    <t>456328</t>
  </si>
  <si>
    <t>RESIDENTIAL DECOUPLING DEFERRE</t>
  </si>
  <si>
    <t>456338</t>
  </si>
  <si>
    <t>NON-RES DECOUPLING DEFERRED RE</t>
  </si>
  <si>
    <t>495328</t>
  </si>
  <si>
    <t>495338</t>
  </si>
  <si>
    <t>Electric Residential</t>
  </si>
  <si>
    <t>Change in Use per Customer</t>
  </si>
  <si>
    <t>%</t>
  </si>
  <si>
    <t>Electric Non-Residential</t>
  </si>
  <si>
    <t>Natural Gas Residential</t>
  </si>
  <si>
    <t>Natural Gas Non-Residential</t>
  </si>
  <si>
    <t>Deferral per Average Customer</t>
  </si>
  <si>
    <t>2016 YTD</t>
  </si>
  <si>
    <t>2nd Quarter 2016</t>
  </si>
  <si>
    <t>3rd Quarter 2016</t>
  </si>
  <si>
    <t>4th Quarter 2016</t>
  </si>
  <si>
    <t>1st Quarter 2016</t>
  </si>
  <si>
    <t>Electric Fixed Cost Adjustment Mechanism (Idaho)</t>
  </si>
  <si>
    <t>Revised</t>
  </si>
  <si>
    <t>Total Actual Billed Customers</t>
  </si>
  <si>
    <t>Revenue Reports</t>
  </si>
  <si>
    <t>Total Actual Usage (kWhs)</t>
  </si>
  <si>
    <t>Total Actual Base Rate Revenue</t>
  </si>
  <si>
    <t>Total Actual Fixed Charge Revenue</t>
  </si>
  <si>
    <t>Existing Customers</t>
  </si>
  <si>
    <t>Actual Customers on System During Test Year</t>
  </si>
  <si>
    <t>Monthly Fixed Cost Adj. Revenue per Customer</t>
  </si>
  <si>
    <t>Page 3</t>
  </si>
  <si>
    <t>Fixed Cost Adjustment Revenue</t>
  </si>
  <si>
    <t>Actual Usage (kWhs)</t>
  </si>
  <si>
    <t>Load Change Adjustment Rate ($/kWh)</t>
  </si>
  <si>
    <t>Page 1</t>
  </si>
  <si>
    <t>Variable Power Supply Revenue</t>
  </si>
  <si>
    <t>Customer Fixed Cost Adjustment Revenue</t>
  </si>
  <si>
    <t>Existing Customer Deferral - Surcharge (Rebate)</t>
  </si>
  <si>
    <t>New Customers</t>
  </si>
  <si>
    <t>Actual Customers New Since Test Year</t>
  </si>
  <si>
    <t>Fixed Production and Transmission Rate per kWh</t>
  </si>
  <si>
    <t xml:space="preserve">Page 1 </t>
  </si>
  <si>
    <t>Fixed Production and Transmission Revenue</t>
  </si>
  <si>
    <t>New Customer Deferral - Surcharge (Rebate)</t>
  </si>
  <si>
    <t>Total Residential Deferral - Surcharge (Rebate)</t>
  </si>
  <si>
    <t>Customer Deposit Rate</t>
  </si>
  <si>
    <t>Cumulative Residential Deferral (Rebate)/Surcharge</t>
  </si>
  <si>
    <t>Page 1 wtd avg</t>
  </si>
  <si>
    <t>Total Non-Residential Deferral - Surcharge (Rebate)</t>
  </si>
  <si>
    <t>Cumulative Non-Residential Deferral (Rebate)/Surcharge</t>
  </si>
  <si>
    <t>Total Cumulative Deferral</t>
  </si>
  <si>
    <t>Natural Gas Fixed Cost Adjustment Mechanism (Idaho)</t>
  </si>
  <si>
    <t>AVU-G-15-01 FCA Base - Rates Effective 1/1/2016</t>
  </si>
  <si>
    <t>Total Actual Usage (Therms)</t>
  </si>
  <si>
    <t>Actual Usage (Therms)</t>
  </si>
  <si>
    <t>Fixed Production and UG Storage Rate per Therm</t>
  </si>
  <si>
    <t>Fixed Production and UG Storage Revenue</t>
  </si>
  <si>
    <t>(p)</t>
  </si>
  <si>
    <t>(q)</t>
  </si>
  <si>
    <t>(r)</t>
  </si>
  <si>
    <t>(s)</t>
  </si>
  <si>
    <t>Non-Residential by Schedule Natural Gas Deferral Scenario (Calendar Year 2016)</t>
  </si>
  <si>
    <t>Non-Residential Only includes Schedule 111/112, no difference from Actual deferral</t>
  </si>
  <si>
    <t>Jurisdiction:ID</t>
  </si>
  <si>
    <t>FCA Deferred Revenue</t>
  </si>
  <si>
    <t>Change in FCA Revenue per Customer</t>
  </si>
  <si>
    <t>253311</t>
  </si>
  <si>
    <t>CONTRA DECOUPLING DEFERRED REV</t>
  </si>
  <si>
    <t>495311</t>
  </si>
  <si>
    <t>CONTRA DECOUPLING DEFERRAL</t>
  </si>
  <si>
    <t>Financial Reporting Contra Asset Accounts</t>
  </si>
  <si>
    <t>Summarized Quarterly and Year to Date Use per Customer and Fixed Cost Adjustment Revenue</t>
  </si>
  <si>
    <t>Per Customer.  Change versus Authorized</t>
  </si>
  <si>
    <t>Accumulated Deferred Income Tax</t>
  </si>
  <si>
    <t>Deferred Revenue</t>
  </si>
  <si>
    <t>Interest Expense/Income</t>
  </si>
  <si>
    <t>253312</t>
  </si>
  <si>
    <t>CONTRA DECOUPLED DEFERRED REVE</t>
  </si>
  <si>
    <t>456311</t>
  </si>
  <si>
    <t>182329</t>
  </si>
  <si>
    <t>REG ASSET- DECOUPLING PRIOR YE</t>
  </si>
  <si>
    <t>182339</t>
  </si>
  <si>
    <t>REG ASSET - NON RES DECOUPLING</t>
  </si>
  <si>
    <t>Prior Year FCA</t>
  </si>
  <si>
    <t>YTD wtd Average</t>
  </si>
  <si>
    <t>REG ASSET- DECOUPLING SURCHARG</t>
  </si>
  <si>
    <t>Deferred Revenue Approved for Recovery</t>
  </si>
  <si>
    <t>AMORTIZATION RES DECOUPLING DE</t>
  </si>
  <si>
    <t>AMORTIZATION NON-RES DECOUPLIN</t>
  </si>
  <si>
    <t>Amort of Prior Period Deferred Revenue</t>
  </si>
  <si>
    <t>Surcharge</t>
  </si>
  <si>
    <t>Rebate</t>
  </si>
  <si>
    <t>REG LIABILITY DECOUPLING REBAT</t>
  </si>
  <si>
    <t>REG LIABILITY NON RES DECOUPLI</t>
  </si>
  <si>
    <t xml:space="preserve">INTEREST INCOME - DECOUPLING		</t>
  </si>
  <si>
    <t xml:space="preserve">INTEREST EXPENSE - DECOUPLING	</t>
  </si>
  <si>
    <t>AVU-E-19-04 FCA Base - Rates Effective 12/1/2019</t>
  </si>
  <si>
    <t>(t)</t>
  </si>
  <si>
    <t>Development of Electric Deferrals (12 Months Ended June 2022)</t>
  </si>
  <si>
    <t>AVU-E-21-01 FCA Base - Rates Effective 09/01/2021</t>
  </si>
  <si>
    <t>3rd Quarter 2021</t>
  </si>
  <si>
    <t>4th Quarter 2021</t>
  </si>
  <si>
    <t>1st Quarter 2022</t>
  </si>
  <si>
    <t>2nd Quarter 2022</t>
  </si>
  <si>
    <t>12 Months Ended</t>
  </si>
  <si>
    <t>Prior Calendar Year Subset Interest</t>
  </si>
  <si>
    <t>Prior Calendar Year Subset Balance</t>
  </si>
  <si>
    <t>Current Calendar Year Subset Interest</t>
  </si>
  <si>
    <t>Conversion Factor</t>
  </si>
  <si>
    <t>Monthly FCA Revenue per Customer</t>
  </si>
  <si>
    <t>Development of Natural Gas Deferrals (12 Months Ended June 2022)</t>
  </si>
  <si>
    <t>AVU-G-17-01 FCA Base - Rates Effective 1/1/2019, 
With Sch 172 Tax Reform Adj - Rates Effective 1/1/2019</t>
  </si>
  <si>
    <t>AVU-G-21-01 FCA Base - Rates Effective 09/01/2021</t>
  </si>
  <si>
    <t>202201</t>
  </si>
  <si>
    <t>202202</t>
  </si>
  <si>
    <t>202203</t>
  </si>
  <si>
    <t>Q3 2021</t>
  </si>
  <si>
    <t>Q4 2021</t>
  </si>
  <si>
    <t>Q1 2022</t>
  </si>
  <si>
    <t>Q2 2022</t>
  </si>
  <si>
    <t xml:space="preserve">1)  The following table shows how the decoupled revenue per customer has tracked with use per customer for each quarter.   The similarity of the percentage change indicates that the mechanism is working as intended.  </t>
  </si>
  <si>
    <t>2)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2022 surcharge may not be fully recovered by 12/31/2024 and therefore would not be recognizable as income for financial reporting purposes in 2022.  The income statement impact of any contra deferral entries will be eliminated for normalized Idaho results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</si>
</sst>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_);_(&quot;$&quot;* \(#,##0.00000\);_(&quot;$&quot;* &quot;-&quot;??_);_(@_)"/>
    <numFmt numFmtId="169" formatCode="_(* #,##0.000000_);_(* \(#,##0.000000\);_(* &quot;-&quot;??_);_(@_)"/>
    <numFmt numFmtId="170" formatCode="###,###,##0.00"/>
    <numFmt numFmtId="171" formatCode="#,###,###,##0.00"/>
    <numFmt numFmtId="172" formatCode="###,###,##0.00;\-###,###,##0.00"/>
    <numFmt numFmtId="173" formatCode="0.000000"/>
    <numFmt numFmtId="174" formatCode="_(* #,##0.00000_);_(* \(#,##0.00000\);_(* &quot;-&quot;??_);_(@_)"/>
    <numFmt numFmtId="175" formatCode="0.0000000"/>
    <numFmt numFmtId="176" formatCode="0000"/>
    <numFmt numFmtId="177" formatCode="000000"/>
    <numFmt numFmtId="178" formatCode="d\.mmm\.yy"/>
    <numFmt numFmtId="179" formatCode="_-* #,##0.00\ _D_M_-;\-* #,##0.00\ _D_M_-;_-* &quot;-&quot;??\ _D_M_-;_-@_-"/>
    <numFmt numFmtId="180" formatCode="_(* #,##0.000_);_(* \(#,##0.000\);_(* &quot;-&quot;??_);_(@_)"/>
    <numFmt numFmtId="181" formatCode="#."/>
    <numFmt numFmtId="182" formatCode="_-* #,##0.00\ &quot;DM&quot;_-;\-* #,##0.00\ &quot;DM&quot;_-;_-* &quot;-&quot;??\ &quot;DM&quot;_-;_-@_-"/>
    <numFmt numFmtId="183" formatCode="_(* ###0_);_(* \(###0\);_(* &quot;-&quot;_);_(@_)"/>
    <numFmt numFmtId="184" formatCode="&quot;$&quot;#,##0\ ;\(&quot;$&quot;#,##0\)"/>
    <numFmt numFmtId="185" formatCode="mmmm\ d\,\ yyyy"/>
    <numFmt numFmtId="186" formatCode="[Blue]#,##0_);[Magenta]\(#,##0\)"/>
    <numFmt numFmtId="187" formatCode="_([$€-2]* #,##0.00_);_([$€-2]* \(#,##0.00\);_([$€-2]* &quot;-&quot;??_)"/>
    <numFmt numFmtId="188" formatCode="_(&quot;$&quot;* #,##0.0_);_(&quot;$&quot;* \(#,##0.0\);_(&quot;$&quot;* &quot;-&quot;??_);_(@_)"/>
    <numFmt numFmtId="189" formatCode="0.0000_);\(0.0000\)"/>
    <numFmt numFmtId="190" formatCode="0.00_)"/>
    <numFmt numFmtId="191" formatCode="&quot;$&quot;#,##0;\-&quot;$&quot;#,##0"/>
    <numFmt numFmtId="192" formatCode="_(&quot;$&quot;* #,##0.000000_);_(&quot;$&quot;* \(#,##0.000000\);_(&quot;$&quot;* &quot;-&quot;??????_);_(@_)"/>
    <numFmt numFmtId="193" formatCode="#,##0.00\ ;\(#,##0.00\)"/>
    <numFmt numFmtId="194" formatCode="0\ &quot; HR&quot;"/>
    <numFmt numFmtId="195" formatCode="0000000"/>
    <numFmt numFmtId="196" formatCode="0.0000%"/>
    <numFmt numFmtId="197" formatCode="0.00000%"/>
    <numFmt numFmtId="198" formatCode="mmm\-yyyy"/>
    <numFmt numFmtId="199" formatCode="_(&quot;$&quot;* #,##0.000_);_(&quot;$&quot;* \(#,##0.000\);_(&quot;$&quot;* &quot;-&quot;??_);_(@_)"/>
    <numFmt numFmtId="200" formatCode="m/yy"/>
    <numFmt numFmtId="201" formatCode="_(&quot;$&quot;* #,##0.0000_);_(&quot;$&quot;* \(#,##0.0000\);_(&quot;$&quot;* &quot;-&quot;????_);_(@_)"/>
    <numFmt numFmtId="202" formatCode="0.0%"/>
    <numFmt numFmtId="203" formatCode="_(* #,##0.0_);_(* \(#,##0.0\);_(* &quot;-&quot;_);_(@_)"/>
    <numFmt numFmtId="204" formatCode="0.000%"/>
    <numFmt numFmtId="205" formatCode="[$-F800]dddd\,\ mmmm\ dd\,\ yyyy"/>
    <numFmt numFmtId="206" formatCode="[$-409]mmmm\-yy;@"/>
    <numFmt numFmtId="207" formatCode="#,##0_%_);\(#,##0\)_%;#,##0_%_);@_%_)"/>
    <numFmt numFmtId="208" formatCode="_._.* #,##0.0_)_%;_._.* \(#,##0.0\)_%"/>
    <numFmt numFmtId="209" formatCode="_._.* #,##0.00_)_%;_._.* \(#,##0.00\)_%"/>
    <numFmt numFmtId="210" formatCode="_._.* #,##0.000_)_%;_._.* \(#,##0.000\)_%"/>
    <numFmt numFmtId="211" formatCode="_(* #,##0.00_);_(* \(\ #,##0.00\ \);_(* &quot;-&quot;??_);_(\ @_ \)"/>
    <numFmt numFmtId="212" formatCode="_._.* #,##0_)_%;_._.* #,##0_)_%;_._.* 0_)_%;_._.@_)_%"/>
    <numFmt numFmtId="213" formatCode="_._.&quot;$&quot;* #,##0.0_)_%;_._.&quot;$&quot;* \(#,##0.0\)_%"/>
    <numFmt numFmtId="214" formatCode="_._.&quot;$&quot;* #,##0.00_)_%;_._.&quot;$&quot;* \(#,##0.00\)_%"/>
    <numFmt numFmtId="215" formatCode="_._.&quot;$&quot;* #,##0.000_)_%;_._.&quot;$&quot;* \(#,##0.000\)_%"/>
    <numFmt numFmtId="216" formatCode="_._.&quot;$&quot;* #,###_)_%;_._.&quot;$&quot;* #,###_)_%;_._.&quot;$&quot;* 0_)_%;_._.@_)_%"/>
    <numFmt numFmtId="217" formatCode="#,###,##0.00;\(#,###,##0.00\)"/>
    <numFmt numFmtId="218" formatCode="#,###,##0;\(#,###,##0\)"/>
    <numFmt numFmtId="219" formatCode="0.0"/>
    <numFmt numFmtId="220" formatCode="&quot;$&quot;#,###,##0.00;\(&quot;$&quot;#,###,##0.00\)"/>
    <numFmt numFmtId="221" formatCode="&quot;$&quot;#,###,##0;\(&quot;$&quot;#,###,##0\)"/>
    <numFmt numFmtId="222" formatCode="#,##0.00%;\(#,##0.00%\)"/>
    <numFmt numFmtId="223" formatCode="_(0_)%;\(0\)%"/>
    <numFmt numFmtId="224" formatCode="_._._(* 0_)%;_._.* \(0\)%"/>
    <numFmt numFmtId="225" formatCode="_(0.0_)%;\(0.0\)%"/>
    <numFmt numFmtId="226" formatCode="_._._(* 0.0_)%;_._.* \(0.0\)%"/>
    <numFmt numFmtId="227" formatCode="_(0.00_)%;\(0.00\)%"/>
    <numFmt numFmtId="228" formatCode="_._._(* 0.00_)%;_._.* \(0.00\)%"/>
    <numFmt numFmtId="229" formatCode="_(0.000_)%;\(0.000\)%"/>
    <numFmt numFmtId="230" formatCode="_._._(* 0.000_)%;_._.* \(0.000\)%"/>
    <numFmt numFmtId="231" formatCode="_(0.0000_)%;\(0.0000\)%"/>
    <numFmt numFmtId="232" formatCode="_._._(* 0.0000_)%;_._.* \(0.0000\)%"/>
    <numFmt numFmtId="233" formatCode="_(* #,##0_);_(* \(#,##0\);_(* 0_);_(@_)"/>
    <numFmt numFmtId="234" formatCode="_(* #,##0.0_);_(* \(#,##0.0\)"/>
    <numFmt numFmtId="235" formatCode="_(* #,##0.00_);_(* \(#,##0.00\)"/>
    <numFmt numFmtId="236" formatCode="_(* #,##0.000_);_(* \(#,##0.000\)"/>
    <numFmt numFmtId="237" formatCode="_(&quot;$&quot;* #,##0_);_(&quot;$&quot;* \(#,##0\);_(&quot;$&quot;* 0_);_(@_)"/>
    <numFmt numFmtId="238" formatCode="_(&quot;$&quot;* #,##0.0_);_(&quot;$&quot;* \(#,##0.0\)"/>
    <numFmt numFmtId="239" formatCode="_(&quot;$&quot;* #,##0.00_);_(&quot;$&quot;* \(#,##0.00\)"/>
    <numFmt numFmtId="240" formatCode="_(&quot;$&quot;* #,##0.000_);_(&quot;$&quot;* \(#,##0.000\)"/>
    <numFmt numFmtId="241" formatCode="#,##0.0_x_x"/>
  </numFmts>
  <fonts count="184">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0"/>
      <color rgb="FF3333FF"/>
      <name val="Times New Roman"/>
      <family val="1"/>
    </font>
    <font>
      <b/>
      <i/>
      <u/>
      <sz val="10"/>
      <color theme="1"/>
      <name val="Times New Roman"/>
      <family val="1"/>
    </font>
    <font>
      <sz val="10"/>
      <color rgb="FF0000FF"/>
      <name val="Times New Roman"/>
      <family val="1"/>
    </font>
    <font>
      <sz val="10"/>
      <color theme="1"/>
      <name val="Calibri"/>
      <family val="2"/>
      <scheme val="minor"/>
    </font>
    <font>
      <sz val="10"/>
      <color theme="6" tint="-0.499984740745262"/>
      <name val="Times New Roman"/>
      <family val="1"/>
    </font>
    <font>
      <sz val="8"/>
      <name val="Calibri"/>
      <family val="2"/>
      <scheme val="minor"/>
    </font>
    <font>
      <sz val="10"/>
      <color rgb="FFFF0000"/>
      <name val="Times New Roman"/>
      <family val="1"/>
    </font>
    <font>
      <b/>
      <sz val="10"/>
      <color rgb="FFFF0000"/>
      <name val="Times New Roman"/>
      <family val="1"/>
    </font>
    <font>
      <sz val="10"/>
      <color theme="9" tint="-0.499984740745262"/>
      <name val="Times New Roman"/>
      <family val="1"/>
    </font>
    <font>
      <sz val="10"/>
      <color theme="5" tint="-0.249977111117893"/>
      <name val="Times New Roman"/>
      <family val="1"/>
    </font>
    <font>
      <b/>
      <sz val="9"/>
      <color indexed="81"/>
      <name val="Tahoma"/>
      <family val="2"/>
    </font>
    <font>
      <sz val="9"/>
      <color indexed="81"/>
      <name val="Tahoma"/>
      <family val="2"/>
    </font>
    <font>
      <sz val="11"/>
      <color theme="9" tint="-0.499984740745262"/>
      <name val="Calibri"/>
      <family val="2"/>
      <scheme val="minor"/>
    </font>
    <font>
      <sz val="10"/>
      <color rgb="FF7030A0"/>
      <name val="Times New Roman"/>
      <family val="1"/>
    </font>
  </fonts>
  <fills count="1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6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diagonal/>
    </border>
    <border>
      <left style="thick">
        <color theme="5"/>
      </left>
      <right/>
      <top/>
      <bottom/>
      <diagonal/>
    </border>
    <border>
      <left style="thick">
        <color theme="5"/>
      </left>
      <right/>
      <top/>
      <bottom style="thin">
        <color auto="1"/>
      </bottom>
      <diagonal/>
    </border>
    <border>
      <left/>
      <right style="thick">
        <color theme="9" tint="-0.24994659260841701"/>
      </right>
      <top/>
      <bottom/>
      <diagonal/>
    </border>
    <border>
      <left/>
      <right style="thick">
        <color theme="9" tint="-0.24994659260841701"/>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0" fontId="32" fillId="0" borderId="0"/>
    <xf numFmtId="0" fontId="32"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32" fillId="0" borderId="0"/>
    <xf numFmtId="0" fontId="32" fillId="0" borderId="0"/>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2" fillId="0" borderId="0"/>
    <xf numFmtId="0" fontId="32" fillId="0" borderId="0"/>
    <xf numFmtId="176" fontId="34" fillId="0" borderId="0">
      <alignment horizontal="left"/>
    </xf>
    <xf numFmtId="177" fontId="35" fillId="0" borderId="0">
      <alignment horizontal="left"/>
    </xf>
    <xf numFmtId="0" fontId="36" fillId="0" borderId="15"/>
    <xf numFmtId="0" fontId="37" fillId="0" borderId="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3" fontId="33"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3" fontId="33"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3" fontId="33"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3" fontId="33" fillId="0" borderId="0">
      <alignment horizontal="left" wrapText="1"/>
    </xf>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173" fontId="33" fillId="0" borderId="0">
      <alignment horizontal="left" wrapText="1"/>
    </xf>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33"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3" fontId="33"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0" fillId="13"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0" fillId="17"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0" fillId="21"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173" fontId="33" fillId="0" borderId="0">
      <alignment horizontal="left" wrapText="1"/>
    </xf>
    <xf numFmtId="173" fontId="33" fillId="0" borderId="0">
      <alignment horizontal="left" wrapText="1"/>
    </xf>
    <xf numFmtId="0" fontId="39"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9"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173" fontId="33" fillId="0" borderId="0">
      <alignment horizontal="left" wrapText="1"/>
    </xf>
    <xf numFmtId="173" fontId="33" fillId="0" borderId="0">
      <alignment horizontal="left" wrapText="1"/>
    </xf>
    <xf numFmtId="0" fontId="39"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173" fontId="33" fillId="0" borderId="0">
      <alignment horizontal="left" wrapText="1"/>
    </xf>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173" fontId="33" fillId="0" borderId="0">
      <alignment horizontal="left" wrapText="1"/>
    </xf>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73" fontId="33" fillId="0" borderId="0">
      <alignment horizontal="left" wrapText="1"/>
    </xf>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6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173" fontId="33" fillId="0" borderId="0">
      <alignment horizontal="left" wrapText="1"/>
    </xf>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0" fillId="4" borderId="0" applyNumberFormat="0" applyBorder="0" applyAlignment="0" applyProtection="0"/>
    <xf numFmtId="0" fontId="20" fillId="40" borderId="0" applyNumberFormat="0" applyBorder="0" applyAlignment="0" applyProtection="0"/>
    <xf numFmtId="173" fontId="33" fillId="0" borderId="0">
      <alignment horizontal="left" wrapText="1"/>
    </xf>
    <xf numFmtId="173" fontId="33" fillId="0" borderId="0">
      <alignment horizontal="left" wrapText="1"/>
    </xf>
    <xf numFmtId="0" fontId="4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5" fillId="0" borderId="0" applyFont="0" applyFill="0" applyBorder="0" applyAlignment="0" applyProtection="0">
      <alignment horizontal="right"/>
    </xf>
    <xf numFmtId="0" fontId="37" fillId="0" borderId="15"/>
    <xf numFmtId="178" fontId="41" fillId="0" borderId="0" applyFill="0" applyBorder="0" applyAlignment="0"/>
    <xf numFmtId="178" fontId="41" fillId="0" borderId="0" applyFill="0" applyBorder="0" applyAlignment="0"/>
    <xf numFmtId="173" fontId="33" fillId="0" borderId="0">
      <alignment horizontal="left" wrapText="1"/>
    </xf>
    <xf numFmtId="173" fontId="33" fillId="0" borderId="0">
      <alignment horizontal="left" wrapText="1"/>
    </xf>
    <xf numFmtId="178" fontId="41" fillId="0" borderId="0" applyFill="0" applyBorder="0" applyAlignment="0"/>
    <xf numFmtId="41" fontId="9" fillId="67" borderId="0"/>
    <xf numFmtId="0" fontId="42" fillId="68" borderId="16" applyNumberFormat="0" applyAlignment="0" applyProtection="0"/>
    <xf numFmtId="173" fontId="33" fillId="0" borderId="0">
      <alignment horizontal="left" wrapText="1"/>
    </xf>
    <xf numFmtId="0" fontId="42" fillId="68" borderId="16" applyNumberFormat="0" applyAlignment="0" applyProtection="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173" fontId="33" fillId="0" borderId="0">
      <alignment horizontal="left" wrapText="1"/>
    </xf>
    <xf numFmtId="41" fontId="9" fillId="67" borderId="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41" fontId="9" fillId="67" borderId="0"/>
    <xf numFmtId="41" fontId="9" fillId="67" borderId="0"/>
    <xf numFmtId="0" fontId="43" fillId="69" borderId="9" applyNumberFormat="0" applyAlignment="0" applyProtection="0"/>
    <xf numFmtId="0" fontId="24" fillId="7" borderId="9" applyNumberFormat="0" applyAlignment="0" applyProtection="0"/>
    <xf numFmtId="0" fontId="44" fillId="70" borderId="17" applyNumberFormat="0" applyAlignment="0" applyProtection="0"/>
    <xf numFmtId="0" fontId="44" fillId="70" borderId="17" applyNumberFormat="0" applyAlignment="0" applyProtection="0"/>
    <xf numFmtId="173" fontId="33" fillId="0" borderId="0">
      <alignment horizontal="left" wrapText="1"/>
    </xf>
    <xf numFmtId="0" fontId="44" fillId="70" borderId="17" applyNumberFormat="0" applyAlignment="0" applyProtection="0"/>
    <xf numFmtId="173" fontId="33" fillId="0" borderId="0">
      <alignment horizontal="left" wrapText="1"/>
    </xf>
    <xf numFmtId="0" fontId="26" fillId="8" borderId="12" applyNumberFormat="0" applyAlignment="0" applyProtection="0"/>
    <xf numFmtId="0" fontId="44" fillId="70" borderId="17" applyNumberFormat="0" applyAlignment="0" applyProtection="0"/>
    <xf numFmtId="41" fontId="9" fillId="71" borderId="0"/>
    <xf numFmtId="41" fontId="9" fillId="71" borderId="0"/>
    <xf numFmtId="173" fontId="33" fillId="0" borderId="0">
      <alignment horizontal="left" wrapText="1"/>
    </xf>
    <xf numFmtId="41" fontId="9" fillId="71" borderId="0"/>
    <xf numFmtId="41" fontId="9" fillId="71" borderId="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9" fontId="9" fillId="0" borderId="0" applyFont="0" applyFill="0" applyBorder="0" applyAlignment="0" applyProtection="0"/>
    <xf numFmtId="43" fontId="38" fillId="0" borderId="0" applyFont="0" applyFill="0" applyBorder="0" applyAlignment="0" applyProtection="0"/>
    <xf numFmtId="40"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80" fontId="9"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1" fillId="0" borderId="0" applyFont="0" applyFill="0" applyBorder="0" applyAlignment="0" applyProtection="0"/>
    <xf numFmtId="43" fontId="38"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43" fontId="1"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3" fontId="48" fillId="0" borderId="0" applyFill="0" applyBorder="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2"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3" fontId="33" fillId="0" borderId="0">
      <alignment horizontal="left" wrapText="1"/>
    </xf>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81" fontId="55" fillId="0" borderId="0">
      <protection locked="0"/>
    </xf>
    <xf numFmtId="0" fontId="51" fillId="0" borderId="0"/>
    <xf numFmtId="0" fontId="52" fillId="0" borderId="0"/>
    <xf numFmtId="0" fontId="52" fillId="0" borderId="0"/>
    <xf numFmtId="0" fontId="51" fillId="0" borderId="0"/>
    <xf numFmtId="0" fontId="50" fillId="0" borderId="0"/>
    <xf numFmtId="0" fontId="52" fillId="0" borderId="0"/>
    <xf numFmtId="0" fontId="56" fillId="0" borderId="0" applyNumberFormat="0" applyAlignment="0">
      <alignment horizontal="left"/>
    </xf>
    <xf numFmtId="0" fontId="56" fillId="0" borderId="0" applyNumberFormat="0" applyAlignment="0">
      <alignment horizontal="left"/>
    </xf>
    <xf numFmtId="173" fontId="33" fillId="0" borderId="0">
      <alignment horizontal="left" wrapText="1"/>
    </xf>
    <xf numFmtId="173" fontId="33" fillId="0" borderId="0">
      <alignment horizontal="left" wrapText="1"/>
    </xf>
    <xf numFmtId="0" fontId="56" fillId="0" borderId="0" applyNumberFormat="0" applyAlignment="0">
      <alignment horizontal="left"/>
    </xf>
    <xf numFmtId="0" fontId="57" fillId="0" borderId="0" applyNumberFormat="0" applyAlignment="0"/>
    <xf numFmtId="0" fontId="57" fillId="0" borderId="0" applyNumberFormat="0" applyAlignment="0"/>
    <xf numFmtId="173" fontId="33" fillId="0" borderId="0">
      <alignment horizontal="left" wrapText="1"/>
    </xf>
    <xf numFmtId="173" fontId="33" fillId="0" borderId="0">
      <alignment horizontal="left" wrapText="1"/>
    </xf>
    <xf numFmtId="0" fontId="57" fillId="0" borderId="0" applyNumberFormat="0" applyAlignment="0"/>
    <xf numFmtId="0" fontId="49" fillId="0" borderId="0"/>
    <xf numFmtId="0" fontId="49" fillId="0" borderId="0"/>
    <xf numFmtId="0" fontId="51" fillId="0" borderId="0"/>
    <xf numFmtId="0" fontId="52" fillId="0" borderId="0"/>
    <xf numFmtId="0" fontId="52" fillId="0" borderId="0"/>
    <xf numFmtId="0" fontId="51" fillId="0" borderId="0"/>
    <xf numFmtId="0" fontId="50" fillId="0" borderId="0"/>
    <xf numFmtId="0" fontId="52" fillId="0" borderId="0"/>
    <xf numFmtId="0" fontId="49" fillId="0" borderId="0"/>
    <xf numFmtId="0" fontId="49" fillId="0" borderId="0"/>
    <xf numFmtId="0" fontId="51" fillId="0" borderId="0"/>
    <xf numFmtId="0" fontId="52" fillId="0" borderId="0"/>
    <xf numFmtId="0" fontId="52" fillId="0" borderId="0"/>
    <xf numFmtId="0" fontId="51" fillId="0" borderId="0"/>
    <xf numFmtId="0" fontId="52" fillId="0" borderId="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58" fillId="0" borderId="0" applyFont="0" applyFill="0" applyBorder="0" applyAlignment="0" applyProtection="0"/>
    <xf numFmtId="44" fontId="59" fillId="0" borderId="0" applyFont="0" applyFill="0" applyBorder="0" applyAlignment="0" applyProtection="0"/>
    <xf numFmtId="173" fontId="33" fillId="0" borderId="0">
      <alignment horizontal="left" wrapText="1"/>
    </xf>
    <xf numFmtId="173" fontId="33" fillId="0" borderId="0">
      <alignment horizontal="left" wrapText="1"/>
    </xf>
    <xf numFmtId="8" fontId="4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46"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8" fontId="45"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4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173" fontId="33" fillId="0" borderId="0">
      <alignment horizontal="left" wrapText="1"/>
    </xf>
    <xf numFmtId="183" fontId="9" fillId="0" borderId="0" applyFont="0" applyFill="0" applyBorder="0" applyAlignment="0" applyProtection="0"/>
    <xf numFmtId="184" fontId="60"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5" fontId="48" fillId="0" borderId="0" applyFill="0" applyBorder="0" applyAlignment="0" applyProtection="0"/>
    <xf numFmtId="183" fontId="9" fillId="0" borderId="0" applyFont="0" applyFill="0" applyBorder="0" applyAlignment="0" applyProtection="0"/>
    <xf numFmtId="184" fontId="48"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5" fontId="48" fillId="0" borderId="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173" fontId="33" fillId="0" borderId="0">
      <alignment horizontal="left" wrapText="1"/>
    </xf>
    <xf numFmtId="185" fontId="48" fillId="0" borderId="0" applyFill="0" applyBorder="0" applyAlignment="0" applyProtection="0"/>
    <xf numFmtId="0" fontId="53" fillId="0" borderId="0" applyFont="0" applyFill="0" applyBorder="0" applyAlignment="0" applyProtection="0"/>
    <xf numFmtId="0" fontId="9" fillId="0" borderId="0" applyFont="0" applyFill="0" applyBorder="0" applyAlignment="0" applyProtection="0"/>
    <xf numFmtId="185" fontId="48" fillId="0" borderId="0" applyFill="0" applyBorder="0" applyAlignment="0" applyProtection="0"/>
    <xf numFmtId="0" fontId="60" fillId="0" borderId="0" applyFont="0" applyFill="0" applyBorder="0" applyAlignment="0" applyProtection="0"/>
    <xf numFmtId="0" fontId="37" fillId="0" borderId="0"/>
    <xf numFmtId="0" fontId="61" fillId="72"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3" fontId="9" fillId="0" borderId="0"/>
    <xf numFmtId="173" fontId="9" fillId="0" borderId="0"/>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33" fillId="0" borderId="0">
      <alignment horizontal="left" wrapText="1"/>
    </xf>
    <xf numFmtId="173" fontId="9" fillId="0" borderId="0"/>
    <xf numFmtId="173" fontId="33" fillId="0" borderId="0">
      <alignment horizontal="left" wrapText="1"/>
    </xf>
    <xf numFmtId="173" fontId="9" fillId="0" borderId="0"/>
    <xf numFmtId="173" fontId="33" fillId="0" borderId="0">
      <alignment horizontal="left" wrapText="1"/>
    </xf>
    <xf numFmtId="186" fontId="62" fillId="0" borderId="0"/>
    <xf numFmtId="173" fontId="33" fillId="0" borderId="0">
      <alignment horizontal="left" wrapText="1"/>
    </xf>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9" fillId="0" borderId="0"/>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33" fillId="0" borderId="0">
      <alignment horizontal="left" wrapText="1"/>
    </xf>
    <xf numFmtId="0" fontId="28" fillId="0" borderId="0" applyNumberFormat="0" applyFill="0" applyBorder="0" applyAlignment="0" applyProtection="0"/>
    <xf numFmtId="0" fontId="63" fillId="0" borderId="0" applyNumberFormat="0" applyFill="0" applyBorder="0" applyAlignment="0" applyProtection="0"/>
    <xf numFmtId="2" fontId="48" fillId="0" borderId="0" applyFill="0" applyBorder="0" applyAlignment="0" applyProtection="0"/>
    <xf numFmtId="2" fontId="53"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2" fontId="48" fillId="0" borderId="0" applyFont="0" applyFill="0" applyBorder="0" applyAlignment="0" applyProtection="0"/>
    <xf numFmtId="2" fontId="48" fillId="0" borderId="0" applyFont="0" applyFill="0" applyBorder="0" applyAlignment="0" applyProtection="0"/>
    <xf numFmtId="2" fontId="48" fillId="0" borderId="0" applyFill="0" applyBorder="0" applyAlignment="0" applyProtection="0"/>
    <xf numFmtId="2" fontId="53" fillId="0" borderId="0" applyFont="0" applyFill="0" applyBorder="0" applyAlignment="0" applyProtection="0"/>
    <xf numFmtId="0" fontId="49" fillId="0" borderId="0"/>
    <xf numFmtId="0" fontId="49" fillId="0" borderId="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19" fillId="3" borderId="0" applyNumberFormat="0" applyBorder="0" applyAlignment="0" applyProtection="0"/>
    <xf numFmtId="0" fontId="19" fillId="42" borderId="0" applyNumberFormat="0" applyBorder="0" applyAlignment="0" applyProtection="0"/>
    <xf numFmtId="173" fontId="33" fillId="0" borderId="0">
      <alignment horizontal="left" wrapText="1"/>
    </xf>
    <xf numFmtId="173" fontId="33" fillId="0" borderId="0">
      <alignment horizontal="left" wrapText="1"/>
    </xf>
    <xf numFmtId="0" fontId="6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173" fontId="33" fillId="0" borderId="0">
      <alignment horizontal="left" wrapText="1"/>
    </xf>
    <xf numFmtId="38" fontId="65" fillId="71" borderId="0" applyNumberFormat="0" applyBorder="0" applyAlignment="0" applyProtection="0"/>
    <xf numFmtId="0"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0" fontId="66" fillId="0" borderId="15"/>
    <xf numFmtId="188" fontId="67" fillId="0" borderId="0" applyNumberFormat="0" applyFill="0" applyBorder="0" applyProtection="0">
      <alignment horizontal="right"/>
    </xf>
    <xf numFmtId="0" fontId="68" fillId="0" borderId="18" applyNumberFormat="0" applyAlignment="0" applyProtection="0">
      <alignment horizontal="left"/>
    </xf>
    <xf numFmtId="0" fontId="68" fillId="0" borderId="18" applyNumberFormat="0" applyAlignment="0" applyProtection="0">
      <alignment horizontal="left"/>
    </xf>
    <xf numFmtId="173" fontId="33" fillId="0" borderId="0">
      <alignment horizontal="left" wrapText="1"/>
    </xf>
    <xf numFmtId="173" fontId="33" fillId="0" borderId="0">
      <alignment horizontal="left" wrapText="1"/>
    </xf>
    <xf numFmtId="0" fontId="68" fillId="0" borderId="18" applyNumberFormat="0" applyAlignment="0" applyProtection="0">
      <alignment horizontal="left"/>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73" fontId="33" fillId="0" borderId="0">
      <alignment horizontal="left" wrapText="1"/>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4" fontId="14" fillId="75" borderId="20">
      <alignment horizontal="center" vertical="center" wrapText="1"/>
    </xf>
    <xf numFmtId="0" fontId="53" fillId="0" borderId="0" applyNumberFormat="0" applyFill="0" applyBorder="0" applyAlignment="0" applyProtection="0"/>
    <xf numFmtId="0" fontId="69" fillId="0" borderId="21" applyNumberFormat="0" applyFill="0" applyAlignment="0" applyProtection="0"/>
    <xf numFmtId="0" fontId="69" fillId="0" borderId="21"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0" fillId="0" borderId="22"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1" fillId="0" borderId="0" applyNumberFormat="0" applyFill="0" applyBorder="0" applyAlignment="0" applyProtection="0"/>
    <xf numFmtId="173" fontId="33" fillId="0" borderId="0">
      <alignment horizontal="left" wrapText="1"/>
    </xf>
    <xf numFmtId="0" fontId="70" fillId="0" borderId="22" applyNumberFormat="0" applyFill="0" applyAlignment="0" applyProtection="0"/>
    <xf numFmtId="0" fontId="71" fillId="0" borderId="0" applyNumberFormat="0" applyFill="0" applyBorder="0" applyAlignment="0" applyProtection="0"/>
    <xf numFmtId="0" fontId="70" fillId="0" borderId="22" applyNumberFormat="0" applyFill="0" applyAlignment="0" applyProtection="0"/>
    <xf numFmtId="0" fontId="16" fillId="0" borderId="6" applyNumberFormat="0" applyFill="0" applyAlignment="0" applyProtection="0"/>
    <xf numFmtId="0" fontId="53" fillId="0" borderId="0" applyNumberFormat="0" applyFill="0" applyBorder="0" applyAlignment="0" applyProtection="0"/>
    <xf numFmtId="0" fontId="72" fillId="0" borderId="23" applyNumberFormat="0" applyFill="0" applyAlignment="0" applyProtection="0"/>
    <xf numFmtId="0" fontId="72" fillId="0" borderId="23"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73" fillId="0" borderId="24"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65" fillId="0" borderId="0" applyNumberFormat="0" applyFill="0" applyBorder="0" applyAlignment="0" applyProtection="0"/>
    <xf numFmtId="173" fontId="33" fillId="0" borderId="0">
      <alignment horizontal="left" wrapText="1"/>
    </xf>
    <xf numFmtId="0" fontId="73" fillId="0" borderId="24" applyNumberFormat="0" applyFill="0" applyAlignment="0" applyProtection="0"/>
    <xf numFmtId="0" fontId="65" fillId="0" borderId="0" applyNumberFormat="0" applyFill="0" applyBorder="0" applyAlignment="0" applyProtection="0"/>
    <xf numFmtId="0" fontId="73" fillId="0" borderId="24" applyNumberFormat="0" applyFill="0" applyAlignment="0" applyProtection="0"/>
    <xf numFmtId="0" fontId="17" fillId="0" borderId="7"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173" fontId="33" fillId="0" borderId="0">
      <alignment horizontal="left" wrapText="1"/>
    </xf>
    <xf numFmtId="173" fontId="33" fillId="0" borderId="0">
      <alignment horizontal="left" wrapText="1"/>
    </xf>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173" fontId="33" fillId="0" borderId="0">
      <alignment horizontal="left" wrapText="1"/>
    </xf>
    <xf numFmtId="173" fontId="33" fillId="0" borderId="0">
      <alignment horizontal="left"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38" fontId="76" fillId="0" borderId="0"/>
    <xf numFmtId="38" fontId="76" fillId="0" borderId="0"/>
    <xf numFmtId="38" fontId="76" fillId="0" borderId="0"/>
    <xf numFmtId="38" fontId="76" fillId="0" borderId="0"/>
    <xf numFmtId="173" fontId="33" fillId="0" borderId="0">
      <alignment horizontal="left" wrapText="1"/>
    </xf>
    <xf numFmtId="0" fontId="76" fillId="0" borderId="0"/>
    <xf numFmtId="0" fontId="76" fillId="0" borderId="0"/>
    <xf numFmtId="0" fontId="76" fillId="0" borderId="0"/>
    <xf numFmtId="38" fontId="76" fillId="0" borderId="0"/>
    <xf numFmtId="38" fontId="76" fillId="0" borderId="0"/>
    <xf numFmtId="38" fontId="76" fillId="0" borderId="0"/>
    <xf numFmtId="40" fontId="76" fillId="0" borderId="0"/>
    <xf numFmtId="40" fontId="76" fillId="0" borderId="0"/>
    <xf numFmtId="40" fontId="76" fillId="0" borderId="0"/>
    <xf numFmtId="40" fontId="76" fillId="0" borderId="0"/>
    <xf numFmtId="173" fontId="33" fillId="0" borderId="0">
      <alignment horizontal="left" wrapText="1"/>
    </xf>
    <xf numFmtId="0" fontId="76" fillId="0" borderId="0"/>
    <xf numFmtId="0" fontId="76" fillId="0" borderId="0"/>
    <xf numFmtId="0" fontId="76" fillId="0" borderId="0"/>
    <xf numFmtId="40" fontId="76" fillId="0" borderId="0"/>
    <xf numFmtId="40" fontId="76" fillId="0" borderId="0"/>
    <xf numFmtId="40" fontId="76" fillId="0" borderId="0"/>
    <xf numFmtId="0" fontId="77" fillId="0" borderId="0" applyNumberFormat="0" applyFill="0" applyBorder="0" applyAlignment="0" applyProtection="0">
      <alignment vertical="top"/>
      <protection locked="0"/>
    </xf>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41" fontId="79" fillId="76" borderId="28">
      <alignment horizontal="left"/>
      <protection locked="0"/>
    </xf>
    <xf numFmtId="173" fontId="33" fillId="0" borderId="0">
      <alignment horizontal="left" wrapText="1"/>
    </xf>
    <xf numFmtId="41" fontId="79" fillId="76" borderId="28">
      <alignment horizontal="left"/>
      <protection locked="0"/>
    </xf>
    <xf numFmtId="10" fontId="79" fillId="76" borderId="28">
      <alignment horizontal="right"/>
      <protection locked="0"/>
    </xf>
    <xf numFmtId="173" fontId="33" fillId="0" borderId="0">
      <alignment horizontal="left" wrapText="1"/>
    </xf>
    <xf numFmtId="10" fontId="79" fillId="76" borderId="28">
      <alignment horizontal="right"/>
      <protection locked="0"/>
    </xf>
    <xf numFmtId="173" fontId="33" fillId="0" borderId="0">
      <alignment horizontal="left" wrapText="1"/>
    </xf>
    <xf numFmtId="41" fontId="79" fillId="76" borderId="28">
      <alignment horizontal="left"/>
      <protection locked="0"/>
    </xf>
    <xf numFmtId="0" fontId="66" fillId="0" borderId="29"/>
    <xf numFmtId="0" fontId="65" fillId="71" borderId="0"/>
    <xf numFmtId="0" fontId="65" fillId="71" borderId="0"/>
    <xf numFmtId="0" fontId="65" fillId="71" borderId="0"/>
    <xf numFmtId="0" fontId="65" fillId="71" borderId="0"/>
    <xf numFmtId="173" fontId="33" fillId="0" borderId="0">
      <alignment horizontal="left" wrapText="1"/>
    </xf>
    <xf numFmtId="3" fontId="80" fillId="0" borderId="0" applyFill="0" applyBorder="0" applyAlignment="0" applyProtection="0"/>
    <xf numFmtId="173" fontId="33" fillId="0" borderId="0">
      <alignment horizontal="left" wrapText="1"/>
    </xf>
    <xf numFmtId="173" fontId="33" fillId="0" borderId="0">
      <alignment horizontal="left" wrapText="1"/>
    </xf>
    <xf numFmtId="3" fontId="80" fillId="0" borderId="0" applyFill="0" applyBorder="0" applyAlignment="0" applyProtection="0"/>
    <xf numFmtId="3" fontId="80" fillId="0" borderId="0" applyFill="0" applyBorder="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25" fillId="0" borderId="11" applyNumberFormat="0" applyFill="0" applyAlignment="0" applyProtection="0"/>
    <xf numFmtId="0" fontId="82" fillId="0" borderId="31" applyNumberFormat="0" applyFill="0" applyAlignment="0" applyProtection="0"/>
    <xf numFmtId="173" fontId="33" fillId="0" borderId="0">
      <alignment horizontal="left" wrapText="1"/>
    </xf>
    <xf numFmtId="173" fontId="33" fillId="0" borderId="0">
      <alignment horizontal="left" wrapText="1"/>
    </xf>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189" fontId="9" fillId="0" borderId="0" applyFont="0" applyFill="0" applyBorder="0" applyAlignment="0" applyProtection="0"/>
    <xf numFmtId="0" fontId="9" fillId="0" borderId="0" applyFont="0" applyFill="0" applyBorder="0" applyAlignment="0" applyProtection="0"/>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173" fontId="33" fillId="0" borderId="0">
      <alignment horizontal="left" wrapText="1"/>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173" fontId="33" fillId="0" borderId="0">
      <alignment horizontal="left" wrapText="1"/>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0" fontId="9" fillId="0" borderId="0" applyFont="0" applyFill="0" applyBorder="0" applyAlignment="0" applyProtection="0"/>
    <xf numFmtId="0" fontId="9" fillId="0" borderId="0" applyFont="0" applyFill="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21" fillId="5" borderId="0" applyNumberFormat="0" applyBorder="0" applyAlignment="0" applyProtection="0"/>
    <xf numFmtId="0" fontId="84" fillId="5" borderId="0" applyNumberFormat="0" applyBorder="0" applyAlignment="0" applyProtection="0"/>
    <xf numFmtId="173" fontId="33" fillId="0" borderId="0">
      <alignment horizontal="left" wrapText="1"/>
    </xf>
    <xf numFmtId="173" fontId="33" fillId="0" borderId="0">
      <alignment horizontal="left" wrapText="1"/>
    </xf>
    <xf numFmtId="0" fontId="85" fillId="4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37" fontId="86" fillId="0" borderId="0"/>
    <xf numFmtId="37" fontId="86" fillId="0" borderId="0"/>
    <xf numFmtId="173" fontId="33" fillId="0" borderId="0">
      <alignment horizontal="left" wrapText="1"/>
    </xf>
    <xf numFmtId="173" fontId="33" fillId="0" borderId="0">
      <alignment horizontal="left" wrapText="1"/>
    </xf>
    <xf numFmtId="37" fontId="86" fillId="0" borderId="0"/>
    <xf numFmtId="190" fontId="87"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2" fontId="33" fillId="0" borderId="0"/>
    <xf numFmtId="192" fontId="33" fillId="0" borderId="0"/>
    <xf numFmtId="190" fontId="87" fillId="0" borderId="0"/>
    <xf numFmtId="0" fontId="9" fillId="0" borderId="0"/>
    <xf numFmtId="190" fontId="87" fillId="0" borderId="0"/>
    <xf numFmtId="193" fontId="9" fillId="0" borderId="0"/>
    <xf numFmtId="173" fontId="33" fillId="0" borderId="0">
      <alignment horizontal="left" wrapText="1"/>
    </xf>
    <xf numFmtId="173" fontId="33" fillId="0" borderId="0">
      <alignment horizontal="left" wrapText="1"/>
    </xf>
    <xf numFmtId="173" fontId="33" fillId="0" borderId="0">
      <alignment horizontal="left" wrapText="1"/>
    </xf>
    <xf numFmtId="192" fontId="33" fillId="0" borderId="0"/>
    <xf numFmtId="194" fontId="9" fillId="0" borderId="0"/>
    <xf numFmtId="195" fontId="47" fillId="0" borderId="0"/>
    <xf numFmtId="174" fontId="9" fillId="0" borderId="0">
      <alignment horizontal="left" wrapText="1"/>
    </xf>
    <xf numFmtId="174" fontId="9" fillId="0" borderId="0">
      <alignment horizontal="left" wrapText="1"/>
    </xf>
    <xf numFmtId="0" fontId="1"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9" fillId="0" borderId="0" applyFill="0" applyBorder="0" applyAlignment="0" applyProtection="0"/>
    <xf numFmtId="0" fontId="1" fillId="0" borderId="0"/>
    <xf numFmtId="0" fontId="9" fillId="0" borderId="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1" fillId="0" borderId="0"/>
    <xf numFmtId="0" fontId="9" fillId="0" borderId="0"/>
    <xf numFmtId="0" fontId="1" fillId="0" borderId="0"/>
    <xf numFmtId="0" fontId="1" fillId="0" borderId="0"/>
    <xf numFmtId="173" fontId="9" fillId="0" borderId="0">
      <alignment horizontal="left" wrapText="1"/>
    </xf>
    <xf numFmtId="0" fontId="1" fillId="0" borderId="0"/>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0" fontId="9" fillId="0" borderId="0"/>
    <xf numFmtId="191" fontId="33" fillId="0" borderId="0">
      <alignment horizontal="left" wrapText="1"/>
    </xf>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9" fillId="0" borderId="0"/>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191" fontId="33" fillId="0" borderId="0">
      <alignment horizontal="left" wrapText="1"/>
    </xf>
    <xf numFmtId="0" fontId="9" fillId="0" borderId="0"/>
    <xf numFmtId="173" fontId="33" fillId="0" borderId="0">
      <alignment horizontal="left" wrapText="1"/>
    </xf>
    <xf numFmtId="0" fontId="9" fillId="0" borderId="0"/>
    <xf numFmtId="191" fontId="33" fillId="0" borderId="0">
      <alignment horizontal="left" wrapText="1"/>
    </xf>
    <xf numFmtId="173" fontId="9"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1" fontId="33" fillId="0" borderId="0">
      <alignment horizontal="left" wrapText="1"/>
    </xf>
    <xf numFmtId="191" fontId="33"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91" fontId="33" fillId="0" borderId="0">
      <alignment horizontal="left" wrapText="1"/>
    </xf>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8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9" fillId="0" borderId="0"/>
    <xf numFmtId="0" fontId="38" fillId="0" borderId="0"/>
    <xf numFmtId="0" fontId="38" fillId="0" borderId="0"/>
    <xf numFmtId="0" fontId="38"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46" fillId="0" borderId="0"/>
    <xf numFmtId="173" fontId="33" fillId="0" borderId="0">
      <alignment horizontal="left" wrapText="1"/>
    </xf>
    <xf numFmtId="0" fontId="38" fillId="0" borderId="0"/>
    <xf numFmtId="0" fontId="38" fillId="0" borderId="0"/>
    <xf numFmtId="0" fontId="46" fillId="0" borderId="0"/>
    <xf numFmtId="0" fontId="38" fillId="0" borderId="0"/>
    <xf numFmtId="0" fontId="38" fillId="0" borderId="0"/>
    <xf numFmtId="0" fontId="46"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96" fontId="9" fillId="0" borderId="0">
      <alignment horizontal="left" wrapText="1"/>
    </xf>
    <xf numFmtId="196" fontId="9" fillId="0" borderId="0">
      <alignment horizontal="left" wrapText="1"/>
    </xf>
    <xf numFmtId="173" fontId="33" fillId="0" borderId="0">
      <alignment horizontal="left" wrapText="1"/>
    </xf>
    <xf numFmtId="196"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6"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7"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33" fillId="0" borderId="0"/>
    <xf numFmtId="198"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173" fontId="33" fillId="0" borderId="0">
      <alignment horizontal="left" wrapText="1"/>
    </xf>
    <xf numFmtId="199" fontId="9" fillId="0" borderId="0">
      <alignment horizontal="left" wrapText="1"/>
    </xf>
    <xf numFmtId="0" fontId="1" fillId="0" borderId="0"/>
    <xf numFmtId="0" fontId="1" fillId="0" borderId="0"/>
    <xf numFmtId="0" fontId="1" fillId="0" borderId="0"/>
    <xf numFmtId="0" fontId="9" fillId="0" borderId="0"/>
    <xf numFmtId="167" fontId="9" fillId="0" borderId="0">
      <alignment horizontal="left" wrapText="1"/>
    </xf>
    <xf numFmtId="167" fontId="9" fillId="0" borderId="0">
      <alignment horizontal="left" wrapText="1"/>
    </xf>
    <xf numFmtId="0" fontId="38" fillId="0" borderId="0"/>
    <xf numFmtId="167"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173" fontId="33" fillId="0" borderId="0">
      <alignment horizontal="left" wrapText="1"/>
    </xf>
    <xf numFmtId="0" fontId="9" fillId="0" borderId="0"/>
    <xf numFmtId="0" fontId="9" fillId="0" borderId="0"/>
    <xf numFmtId="0" fontId="1" fillId="0" borderId="0"/>
    <xf numFmtId="0" fontId="9" fillId="0" borderId="0"/>
    <xf numFmtId="0" fontId="9" fillId="0" borderId="0"/>
    <xf numFmtId="0" fontId="33"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58" fillId="0" borderId="0"/>
    <xf numFmtId="173" fontId="9" fillId="0" borderId="0">
      <alignment horizontal="left" wrapText="1"/>
    </xf>
    <xf numFmtId="173" fontId="33" fillId="0" borderId="0">
      <alignment horizontal="left" wrapText="1"/>
    </xf>
    <xf numFmtId="173" fontId="9" fillId="0" borderId="0">
      <alignment horizontal="left" wrapText="1"/>
    </xf>
    <xf numFmtId="39" fontId="89" fillId="0" borderId="0" applyNumberFormat="0" applyFill="0" applyBorder="0" applyAlignment="0" applyProtection="0"/>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0" fontId="46" fillId="0" borderId="0"/>
    <xf numFmtId="0" fontId="46" fillId="0" borderId="0"/>
    <xf numFmtId="0" fontId="46" fillId="0" borderId="0"/>
    <xf numFmtId="0" fontId="46" fillId="0" borderId="0"/>
    <xf numFmtId="173" fontId="33" fillId="0" borderId="0">
      <alignment horizontal="left" wrapText="1"/>
    </xf>
    <xf numFmtId="0" fontId="9" fillId="0" borderId="0"/>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200" fontId="9" fillId="0" borderId="0">
      <alignment horizontal="left" wrapText="1"/>
    </xf>
    <xf numFmtId="0" fontId="9" fillId="0" borderId="0"/>
    <xf numFmtId="0" fontId="1" fillId="0" borderId="0"/>
    <xf numFmtId="0" fontId="9" fillId="0" borderId="0"/>
    <xf numFmtId="0" fontId="9" fillId="0" borderId="0"/>
    <xf numFmtId="0" fontId="38"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5" fontId="33" fillId="0" borderId="0">
      <alignment horizontal="left" wrapText="1"/>
    </xf>
    <xf numFmtId="175" fontId="33" fillId="0" borderId="0">
      <alignment horizontal="left" wrapText="1"/>
    </xf>
    <xf numFmtId="0" fontId="9" fillId="0" borderId="0"/>
    <xf numFmtId="0" fontId="9" fillId="0" borderId="0"/>
    <xf numFmtId="0" fontId="1" fillId="0" borderId="0"/>
    <xf numFmtId="0" fontId="1" fillId="0" borderId="0"/>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1" fillId="0" borderId="0"/>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0" fontId="9" fillId="0" borderId="0"/>
    <xf numFmtId="0" fontId="1" fillId="0" borderId="0"/>
    <xf numFmtId="0" fontId="1" fillId="0" borderId="0"/>
    <xf numFmtId="0" fontId="88" fillId="0" borderId="0"/>
    <xf numFmtId="201"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1" fillId="0" borderId="0"/>
    <xf numFmtId="0" fontId="1" fillId="0" borderId="0"/>
    <xf numFmtId="0" fontId="1" fillId="0" borderId="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173" fontId="33" fillId="0" borderId="0">
      <alignment horizontal="left" wrapText="1"/>
    </xf>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173" fontId="33" fillId="0" borderId="0">
      <alignment horizontal="left" wrapText="1"/>
    </xf>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23" fillId="7" borderId="10" applyNumberFormat="0" applyAlignment="0" applyProtection="0"/>
    <xf numFmtId="0" fontId="23" fillId="69" borderId="10" applyNumberFormat="0" applyAlignment="0" applyProtection="0"/>
    <xf numFmtId="173" fontId="33" fillId="0" borderId="0">
      <alignment horizontal="left" wrapText="1"/>
    </xf>
    <xf numFmtId="173" fontId="33" fillId="0" borderId="0">
      <alignment horizontal="left" wrapText="1"/>
    </xf>
    <xf numFmtId="0" fontId="90" fillId="69" borderId="35" applyNumberFormat="0" applyAlignment="0" applyProtection="0"/>
    <xf numFmtId="0" fontId="23" fillId="69" borderId="10" applyNumberFormat="0" applyAlignment="0" applyProtection="0"/>
    <xf numFmtId="0" fontId="23" fillId="69" borderId="10" applyNumberFormat="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0" fillId="0" borderId="0"/>
    <xf numFmtId="0" fontId="52" fillId="0" borderId="0"/>
    <xf numFmtId="2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9" fontId="58" fillId="0" borderId="0" applyFont="0" applyFill="0" applyBorder="0" applyAlignment="0" applyProtection="0"/>
    <xf numFmtId="9" fontId="5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59"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0" fontId="9" fillId="0" borderId="28"/>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9" fontId="38"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1" fillId="0" borderId="0" applyFont="0" applyFill="0" applyBorder="0" applyAlignment="0" applyProtection="0"/>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9" fontId="45" fillId="0" borderId="0" applyFont="0" applyFill="0" applyBorder="0" applyAlignment="0" applyProtection="0"/>
    <xf numFmtId="173" fontId="33" fillId="0" borderId="0">
      <alignment horizontal="left" wrapText="1"/>
    </xf>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10" fontId="9" fillId="0" borderId="28"/>
    <xf numFmtId="173" fontId="33" fillId="0" borderId="0">
      <alignment horizontal="left" wrapText="1"/>
    </xf>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3"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41" fontId="9" fillId="77" borderId="28"/>
    <xf numFmtId="41" fontId="9" fillId="77" borderId="28"/>
    <xf numFmtId="173" fontId="33" fillId="0" borderId="0">
      <alignment horizontal="left" wrapText="1"/>
    </xf>
    <xf numFmtId="41" fontId="9" fillId="77" borderId="28"/>
    <xf numFmtId="41" fontId="9" fillId="77" borderId="28"/>
    <xf numFmtId="173" fontId="33" fillId="0" borderId="0">
      <alignment horizontal="left" wrapText="1"/>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73" fontId="33" fillId="0" borderId="0">
      <alignment horizontal="left" wrapText="1"/>
    </xf>
    <xf numFmtId="173" fontId="33" fillId="0" borderId="0">
      <alignment horizontal="left" wrapText="1"/>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73" fontId="33" fillId="0" borderId="0">
      <alignment horizontal="left" wrapText="1"/>
    </xf>
    <xf numFmtId="173" fontId="33" fillId="0" borderId="0">
      <alignment horizontal="left" wrapText="1"/>
    </xf>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173" fontId="33" fillId="0" borderId="0">
      <alignment horizontal="left" wrapText="1"/>
    </xf>
    <xf numFmtId="173" fontId="33" fillId="0" borderId="0">
      <alignment horizontal="left" wrapText="1"/>
    </xf>
    <xf numFmtId="4" fontId="46" fillId="0" borderId="0" applyFont="0" applyFill="0" applyBorder="0" applyAlignment="0" applyProtection="0"/>
    <xf numFmtId="0" fontId="91" fillId="0" borderId="20">
      <alignment horizontal="center"/>
    </xf>
    <xf numFmtId="0" fontId="91" fillId="0" borderId="20">
      <alignment horizontal="center"/>
    </xf>
    <xf numFmtId="173" fontId="33" fillId="0" borderId="0">
      <alignment horizontal="left" wrapText="1"/>
    </xf>
    <xf numFmtId="173" fontId="33" fillId="0" borderId="0">
      <alignment horizontal="left" wrapText="1"/>
    </xf>
    <xf numFmtId="0" fontId="91" fillId="0" borderId="20">
      <alignment horizontal="center"/>
    </xf>
    <xf numFmtId="3" fontId="46" fillId="0" borderId="0" applyFont="0" applyFill="0" applyBorder="0" applyAlignment="0" applyProtection="0"/>
    <xf numFmtId="3" fontId="46" fillId="0" borderId="0" applyFont="0" applyFill="0" applyBorder="0" applyAlignment="0" applyProtection="0"/>
    <xf numFmtId="173" fontId="33" fillId="0" borderId="0">
      <alignment horizontal="left" wrapText="1"/>
    </xf>
    <xf numFmtId="173" fontId="33" fillId="0" borderId="0">
      <alignment horizontal="left" wrapText="1"/>
    </xf>
    <xf numFmtId="3" fontId="46" fillId="0" borderId="0" applyFont="0" applyFill="0" applyBorder="0" applyAlignment="0" applyProtection="0"/>
    <xf numFmtId="0" fontId="46" fillId="78" borderId="0" applyNumberFormat="0" applyFont="0" applyBorder="0" applyAlignment="0" applyProtection="0"/>
    <xf numFmtId="0" fontId="46" fillId="78" borderId="0" applyNumberFormat="0" applyFont="0" applyBorder="0" applyAlignment="0" applyProtection="0"/>
    <xf numFmtId="173" fontId="33" fillId="0" borderId="0">
      <alignment horizontal="left" wrapText="1"/>
    </xf>
    <xf numFmtId="173" fontId="33" fillId="0" borderId="0">
      <alignment horizontal="left" wrapText="1"/>
    </xf>
    <xf numFmtId="0" fontId="46" fillId="78" borderId="0" applyNumberFormat="0" applyFont="0" applyBorder="0" applyAlignment="0" applyProtection="0"/>
    <xf numFmtId="0" fontId="51" fillId="0" borderId="0"/>
    <xf numFmtId="0" fontId="52" fillId="0" borderId="0"/>
    <xf numFmtId="0" fontId="52" fillId="0" borderId="0"/>
    <xf numFmtId="0" fontId="51" fillId="0" borderId="0"/>
    <xf numFmtId="0" fontId="52" fillId="0" borderId="0"/>
    <xf numFmtId="3" fontId="92" fillId="0" borderId="0" applyFill="0" applyBorder="0" applyAlignment="0" applyProtection="0"/>
    <xf numFmtId="0" fontId="93" fillId="0" borderId="0"/>
    <xf numFmtId="0" fontId="94" fillId="0" borderId="0"/>
    <xf numFmtId="0" fontId="94" fillId="0" borderId="0"/>
    <xf numFmtId="0" fontId="93" fillId="0" borderId="0"/>
    <xf numFmtId="0" fontId="94" fillId="0" borderId="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173" fontId="33" fillId="0" borderId="0">
      <alignment horizontal="left" wrapText="1"/>
    </xf>
    <xf numFmtId="173" fontId="33" fillId="0" borderId="0">
      <alignment horizontal="left" wrapText="1"/>
    </xf>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42" fontId="9" fillId="67" borderId="0"/>
    <xf numFmtId="0" fontId="50" fillId="79" borderId="0"/>
    <xf numFmtId="0" fontId="95" fillId="79" borderId="29"/>
    <xf numFmtId="0" fontId="96" fillId="80" borderId="3"/>
    <xf numFmtId="0" fontId="97" fillId="79" borderId="36"/>
    <xf numFmtId="42" fontId="9" fillId="67" borderId="0"/>
    <xf numFmtId="173" fontId="33" fillId="0" borderId="0">
      <alignment horizontal="left" wrapText="1"/>
    </xf>
    <xf numFmtId="42" fontId="9" fillId="67" borderId="0"/>
    <xf numFmtId="173" fontId="33" fillId="0" borderId="0">
      <alignment horizontal="left" wrapText="1"/>
    </xf>
    <xf numFmtId="42" fontId="9" fillId="67" borderId="0"/>
    <xf numFmtId="42" fontId="9" fillId="67" borderId="0"/>
    <xf numFmtId="42" fontId="9" fillId="67" borderId="37">
      <alignment vertical="center"/>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0" fontId="14" fillId="67" borderId="1" applyNumberFormat="0">
      <alignment horizontal="center" vertical="center" wrapText="1"/>
    </xf>
    <xf numFmtId="0" fontId="14" fillId="67" borderId="38" applyNumberFormat="0">
      <alignment horizontal="center" vertical="center" wrapText="1"/>
    </xf>
    <xf numFmtId="0" fontId="14" fillId="67" borderId="1" applyNumberFormat="0">
      <alignment horizontal="center" vertical="center" wrapText="1"/>
    </xf>
    <xf numFmtId="173" fontId="33" fillId="0" borderId="0">
      <alignment horizontal="left" wrapText="1"/>
    </xf>
    <xf numFmtId="10" fontId="9" fillId="67" borderId="0"/>
    <xf numFmtId="10" fontId="9" fillId="67" borderId="0"/>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0" fontId="9" fillId="67" borderId="0"/>
    <xf numFmtId="201" fontId="9" fillId="67" borderId="0"/>
    <xf numFmtId="201" fontId="9" fillId="67" borderId="0"/>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201" fontId="9" fillId="67" borderId="0"/>
    <xf numFmtId="42" fontId="9" fillId="67" borderId="0"/>
    <xf numFmtId="165" fontId="76" fillId="0" borderId="0" applyBorder="0" applyAlignment="0"/>
    <xf numFmtId="165" fontId="76" fillId="0" borderId="0" applyBorder="0" applyAlignment="0"/>
    <xf numFmtId="165" fontId="76" fillId="0" borderId="0" applyBorder="0" applyAlignment="0"/>
    <xf numFmtId="42" fontId="9" fillId="67" borderId="2">
      <alignment horizontal="left"/>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201" fontId="98" fillId="67" borderId="2">
      <alignment horizontal="left"/>
    </xf>
    <xf numFmtId="173" fontId="33" fillId="0" borderId="0">
      <alignment horizontal="left" wrapText="1"/>
    </xf>
    <xf numFmtId="201" fontId="98" fillId="67" borderId="2">
      <alignment horizontal="left"/>
    </xf>
    <xf numFmtId="165" fontId="76" fillId="0" borderId="0" applyBorder="0" applyAlignment="0"/>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03" fontId="9" fillId="0" borderId="0" applyFont="0" applyFill="0" applyAlignment="0">
      <alignment horizontal="right"/>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4" fontId="11" fillId="76" borderId="35" applyNumberFormat="0" applyProtection="0">
      <alignment vertical="center"/>
    </xf>
    <xf numFmtId="173" fontId="33" fillId="0" borderId="0">
      <alignment horizontal="left" wrapText="1"/>
    </xf>
    <xf numFmtId="4" fontId="11" fillId="76" borderId="35" applyNumberFormat="0" applyProtection="0">
      <alignment vertical="center"/>
    </xf>
    <xf numFmtId="4" fontId="99" fillId="76" borderId="35" applyNumberFormat="0" applyProtection="0">
      <alignment vertical="center"/>
    </xf>
    <xf numFmtId="173" fontId="33" fillId="0" borderId="0">
      <alignment horizontal="left" wrapText="1"/>
    </xf>
    <xf numFmtId="4" fontId="99" fillId="76" borderId="35" applyNumberFormat="0" applyProtection="0">
      <alignment vertical="center"/>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2"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173" fontId="33" fillId="0" borderId="0">
      <alignment horizontal="left" wrapText="1"/>
    </xf>
    <xf numFmtId="4" fontId="11" fillId="83" borderId="35" applyNumberFormat="0" applyProtection="0">
      <alignment horizontal="right" vertical="center"/>
    </xf>
    <xf numFmtId="4" fontId="11" fillId="84" borderId="35" applyNumberFormat="0" applyProtection="0">
      <alignment horizontal="right" vertical="center"/>
    </xf>
    <xf numFmtId="173" fontId="33" fillId="0" borderId="0">
      <alignment horizontal="left" wrapText="1"/>
    </xf>
    <xf numFmtId="4" fontId="11" fillId="84" borderId="35" applyNumberFormat="0" applyProtection="0">
      <alignment horizontal="right" vertical="center"/>
    </xf>
    <xf numFmtId="4" fontId="11" fillId="85" borderId="35" applyNumberFormat="0" applyProtection="0">
      <alignment horizontal="right" vertical="center"/>
    </xf>
    <xf numFmtId="173" fontId="33" fillId="0" borderId="0">
      <alignment horizontal="left" wrapText="1"/>
    </xf>
    <xf numFmtId="4" fontId="11" fillId="85" borderId="35" applyNumberFormat="0" applyProtection="0">
      <alignment horizontal="right" vertical="center"/>
    </xf>
    <xf numFmtId="4" fontId="11" fillId="86" borderId="35" applyNumberFormat="0" applyProtection="0">
      <alignment horizontal="right" vertical="center"/>
    </xf>
    <xf numFmtId="173" fontId="33" fillId="0" borderId="0">
      <alignment horizontal="left" wrapText="1"/>
    </xf>
    <xf numFmtId="4" fontId="11" fillId="86" borderId="35" applyNumberFormat="0" applyProtection="0">
      <alignment horizontal="right" vertical="center"/>
    </xf>
    <xf numFmtId="4" fontId="11" fillId="87" borderId="35" applyNumberFormat="0" applyProtection="0">
      <alignment horizontal="right" vertical="center"/>
    </xf>
    <xf numFmtId="173" fontId="33" fillId="0" borderId="0">
      <alignment horizontal="left" wrapText="1"/>
    </xf>
    <xf numFmtId="4" fontId="11" fillId="87" borderId="35" applyNumberFormat="0" applyProtection="0">
      <alignment horizontal="right" vertical="center"/>
    </xf>
    <xf numFmtId="4" fontId="11" fillId="88" borderId="35" applyNumberFormat="0" applyProtection="0">
      <alignment horizontal="right" vertical="center"/>
    </xf>
    <xf numFmtId="173" fontId="33" fillId="0" borderId="0">
      <alignment horizontal="left" wrapText="1"/>
    </xf>
    <xf numFmtId="4" fontId="11" fillId="88" borderId="35" applyNumberFormat="0" applyProtection="0">
      <alignment horizontal="right" vertical="center"/>
    </xf>
    <xf numFmtId="4" fontId="11" fillId="89" borderId="35" applyNumberFormat="0" applyProtection="0">
      <alignment horizontal="right" vertical="center"/>
    </xf>
    <xf numFmtId="173" fontId="33" fillId="0" borderId="0">
      <alignment horizontal="left" wrapText="1"/>
    </xf>
    <xf numFmtId="4" fontId="11" fillId="89" borderId="35" applyNumberFormat="0" applyProtection="0">
      <alignment horizontal="right" vertical="center"/>
    </xf>
    <xf numFmtId="4" fontId="11" fillId="90" borderId="35" applyNumberFormat="0" applyProtection="0">
      <alignment horizontal="right" vertical="center"/>
    </xf>
    <xf numFmtId="173" fontId="33" fillId="0" borderId="0">
      <alignment horizontal="left" wrapText="1"/>
    </xf>
    <xf numFmtId="4" fontId="11" fillId="90" borderId="35" applyNumberFormat="0" applyProtection="0">
      <alignment horizontal="right" vertical="center"/>
    </xf>
    <xf numFmtId="4" fontId="11" fillId="91" borderId="35" applyNumberFormat="0" applyProtection="0">
      <alignment horizontal="right" vertical="center"/>
    </xf>
    <xf numFmtId="173" fontId="33" fillId="0" borderId="0">
      <alignment horizontal="left" wrapText="1"/>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3" borderId="0" applyNumberFormat="0" applyProtection="0">
      <alignment horizontal="left" vertical="center" indent="1"/>
    </xf>
    <xf numFmtId="4" fontId="12" fillId="93" borderId="0" applyNumberFormat="0" applyProtection="0">
      <alignment horizontal="left" vertical="center" indent="1"/>
    </xf>
    <xf numFmtId="4" fontId="12" fillId="92" borderId="35" applyNumberFormat="0" applyProtection="0">
      <alignment horizontal="left" vertical="center" indent="1"/>
    </xf>
    <xf numFmtId="4" fontId="11" fillId="94" borderId="39" applyNumberFormat="0" applyProtection="0">
      <alignment horizontal="left" vertical="center" indent="1"/>
    </xf>
    <xf numFmtId="4" fontId="11" fillId="94" borderId="0" applyNumberFormat="0" applyProtection="0">
      <alignment horizontal="left" vertical="center" indent="1"/>
    </xf>
    <xf numFmtId="4" fontId="11" fillId="94"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01" fillId="0" borderId="0"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01" fillId="0" borderId="0"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69" borderId="27" applyNumberFormat="0">
      <protection locked="0"/>
    </xf>
    <xf numFmtId="0" fontId="9" fillId="69" borderId="27" applyNumberFormat="0">
      <protection locked="0"/>
    </xf>
    <xf numFmtId="173" fontId="33" fillId="0" borderId="0">
      <alignment horizontal="left" wrapText="1"/>
    </xf>
    <xf numFmtId="173" fontId="33" fillId="0" borderId="0">
      <alignment horizontal="left" wrapText="1"/>
    </xf>
    <xf numFmtId="0" fontId="76" fillId="64" borderId="40" applyBorder="0"/>
    <xf numFmtId="4" fontId="11" fillId="98" borderId="35" applyNumberFormat="0" applyProtection="0">
      <alignment vertical="center"/>
    </xf>
    <xf numFmtId="173" fontId="33" fillId="0" borderId="0">
      <alignment horizontal="left" wrapText="1"/>
    </xf>
    <xf numFmtId="4" fontId="11" fillId="98" borderId="35" applyNumberFormat="0" applyProtection="0">
      <alignment vertical="center"/>
    </xf>
    <xf numFmtId="4" fontId="99" fillId="98" borderId="35" applyNumberFormat="0" applyProtection="0">
      <alignment vertical="center"/>
    </xf>
    <xf numFmtId="173" fontId="33" fillId="0" borderId="0">
      <alignment horizontal="left" wrapText="1"/>
    </xf>
    <xf numFmtId="4" fontId="99" fillId="98" borderId="35" applyNumberFormat="0" applyProtection="0">
      <alignment vertical="center"/>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173" fontId="33" fillId="0" borderId="0">
      <alignment horizontal="left" wrapText="1"/>
    </xf>
    <xf numFmtId="4" fontId="11" fillId="94" borderId="35" applyNumberFormat="0" applyProtection="0">
      <alignment horizontal="right" vertical="center"/>
    </xf>
    <xf numFmtId="4" fontId="99" fillId="94" borderId="35" applyNumberFormat="0" applyProtection="0">
      <alignment horizontal="right" vertical="center"/>
    </xf>
    <xf numFmtId="173" fontId="33" fillId="0" borderId="0">
      <alignment horizontal="left" wrapText="1"/>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102" fillId="0" borderId="0"/>
    <xf numFmtId="0" fontId="102" fillId="0" borderId="0"/>
    <xf numFmtId="0" fontId="103" fillId="0" borderId="0" applyNumberFormat="0" applyProtection="0">
      <alignment horizontal="left" indent="5"/>
    </xf>
    <xf numFmtId="0" fontId="65" fillId="99" borderId="27"/>
    <xf numFmtId="4" fontId="104" fillId="94" borderId="35" applyNumberFormat="0" applyProtection="0">
      <alignment horizontal="right" vertical="center"/>
    </xf>
    <xf numFmtId="173" fontId="33" fillId="0" borderId="0">
      <alignment horizontal="left" wrapText="1"/>
    </xf>
    <xf numFmtId="4" fontId="104" fillId="94" borderId="35" applyNumberFormat="0" applyProtection="0">
      <alignment horizontal="right" vertical="center"/>
    </xf>
    <xf numFmtId="39" fontId="9" fillId="100" borderId="0"/>
    <xf numFmtId="39" fontId="9" fillId="100" borderId="0"/>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39" fontId="9" fillId="100" borderId="0"/>
    <xf numFmtId="0" fontId="105" fillId="0" borderId="0" applyNumberFormat="0" applyFill="0" applyBorder="0" applyAlignment="0" applyProtection="0"/>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173" fontId="33" fillId="0" borderId="0">
      <alignment horizontal="left" wrapText="1"/>
    </xf>
    <xf numFmtId="38" fontId="65" fillId="0" borderId="41"/>
    <xf numFmtId="0" fontId="65" fillId="0" borderId="41"/>
    <xf numFmtId="38" fontId="65" fillId="0" borderId="41"/>
    <xf numFmtId="38" fontId="65" fillId="0" borderId="41"/>
    <xf numFmtId="38" fontId="65" fillId="0" borderId="41"/>
    <xf numFmtId="38" fontId="76" fillId="0" borderId="2"/>
    <xf numFmtId="38" fontId="76" fillId="0" borderId="2"/>
    <xf numFmtId="38" fontId="76" fillId="0" borderId="2"/>
    <xf numFmtId="38" fontId="76" fillId="0" borderId="2"/>
    <xf numFmtId="173" fontId="33" fillId="0" borderId="0">
      <alignment horizontal="left" wrapText="1"/>
    </xf>
    <xf numFmtId="0" fontId="76" fillId="0" borderId="2"/>
    <xf numFmtId="0" fontId="76" fillId="0" borderId="2"/>
    <xf numFmtId="0" fontId="76" fillId="0" borderId="2"/>
    <xf numFmtId="38" fontId="76" fillId="0" borderId="2"/>
    <xf numFmtId="38" fontId="76" fillId="0" borderId="2"/>
    <xf numFmtId="38" fontId="76" fillId="0" borderId="2"/>
    <xf numFmtId="38" fontId="76" fillId="0" borderId="2"/>
    <xf numFmtId="39" fontId="33" fillId="101" borderId="0"/>
    <xf numFmtId="39" fontId="33" fillId="101" borderId="0"/>
    <xf numFmtId="173" fontId="9" fillId="0" borderId="0">
      <alignment horizontal="left" wrapText="1"/>
    </xf>
    <xf numFmtId="204" fontId="9" fillId="0" borderId="0">
      <alignment horizontal="left" wrapText="1"/>
    </xf>
    <xf numFmtId="196"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201" fontId="9" fillId="0" borderId="0">
      <alignment horizontal="left" wrapText="1"/>
    </xf>
    <xf numFmtId="201" fontId="9" fillId="0" borderId="0">
      <alignment horizontal="left" wrapText="1"/>
    </xf>
    <xf numFmtId="201" fontId="9" fillId="0" borderId="0">
      <alignment horizontal="left" wrapText="1"/>
    </xf>
    <xf numFmtId="202" fontId="9" fillId="0" borderId="0">
      <alignment horizontal="left" wrapText="1"/>
    </xf>
    <xf numFmtId="201" fontId="9" fillId="0" borderId="0">
      <alignment horizontal="left" wrapText="1"/>
    </xf>
    <xf numFmtId="201"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99" fontId="9" fillId="0" borderId="0">
      <alignment horizontal="left" wrapText="1"/>
    </xf>
    <xf numFmtId="199" fontId="9" fillId="0" borderId="0">
      <alignment horizontal="left" wrapText="1"/>
    </xf>
    <xf numFmtId="173" fontId="33" fillId="0" borderId="0">
      <alignment horizontal="left" wrapText="1"/>
    </xf>
    <xf numFmtId="173" fontId="33" fillId="0" borderId="0">
      <alignment horizontal="left" wrapText="1"/>
    </xf>
    <xf numFmtId="199" fontId="9" fillId="0" borderId="0">
      <alignment horizontal="left" wrapText="1"/>
    </xf>
    <xf numFmtId="204" fontId="9" fillId="0" borderId="0">
      <alignment horizontal="left" wrapText="1"/>
    </xf>
    <xf numFmtId="204" fontId="9" fillId="0" borderId="0">
      <alignment horizontal="left" wrapText="1"/>
    </xf>
    <xf numFmtId="173" fontId="33"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202" fontId="9" fillId="0" borderId="0">
      <alignment horizontal="left" wrapText="1"/>
    </xf>
    <xf numFmtId="202" fontId="9" fillId="0" borderId="0">
      <alignment horizontal="left" wrapText="1"/>
    </xf>
    <xf numFmtId="197" fontId="9" fillId="0" borderId="0">
      <alignment horizontal="left" wrapText="1"/>
    </xf>
    <xf numFmtId="173" fontId="9" fillId="0" borderId="0">
      <alignment horizontal="left" wrapText="1"/>
    </xf>
    <xf numFmtId="202" fontId="9" fillId="0" borderId="0">
      <alignment horizontal="left" wrapText="1"/>
    </xf>
    <xf numFmtId="173" fontId="9" fillId="0" borderId="0">
      <alignment horizontal="left" wrapText="1"/>
    </xf>
    <xf numFmtId="0" fontId="9" fillId="0" borderId="0">
      <alignment horizontal="left" wrapText="1"/>
    </xf>
    <xf numFmtId="0" fontId="11" fillId="0" borderId="0" applyNumberFormat="0" applyBorder="0" applyAlignment="0"/>
    <xf numFmtId="0" fontId="106" fillId="0" borderId="0" applyNumberFormat="0" applyBorder="0" applyAlignment="0"/>
    <xf numFmtId="0" fontId="12" fillId="0" borderId="0" applyNumberFormat="0" applyBorder="0" applyAlignment="0"/>
    <xf numFmtId="0" fontId="107" fillId="0" borderId="0"/>
    <xf numFmtId="0" fontId="66" fillId="0" borderId="36"/>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0" fontId="110" fillId="0" borderId="0"/>
    <xf numFmtId="0" fontId="9" fillId="0" borderId="0" applyNumberFormat="0" applyBorder="0" applyAlignment="0"/>
    <xf numFmtId="0" fontId="111" fillId="0" borderId="0" applyFill="0" applyBorder="0" applyProtection="0">
      <alignment horizontal="left" vertical="top"/>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173" fontId="33" fillId="0" borderId="0">
      <alignment horizontal="left" wrapText="1"/>
    </xf>
    <xf numFmtId="173" fontId="33" fillId="0" borderId="0">
      <alignment horizontal="left" wrapText="1"/>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0" fillId="0" borderId="0"/>
    <xf numFmtId="0" fontId="95" fillId="79" borderId="0"/>
    <xf numFmtId="166" fontId="113" fillId="67" borderId="0">
      <alignment horizontal="left" vertical="center"/>
    </xf>
    <xf numFmtId="166" fontId="114" fillId="0" borderId="0">
      <alignment horizontal="left" vertical="center"/>
    </xf>
    <xf numFmtId="166" fontId="114" fillId="0" borderId="0">
      <alignment horizontal="left" vertical="center"/>
    </xf>
    <xf numFmtId="0" fontId="14" fillId="67" borderId="0">
      <alignment horizontal="left" wrapText="1"/>
    </xf>
    <xf numFmtId="0" fontId="14" fillId="67" borderId="0">
      <alignment horizontal="left" wrapText="1"/>
    </xf>
    <xf numFmtId="0" fontId="14" fillId="67" borderId="0">
      <alignment horizontal="left" wrapText="1"/>
    </xf>
    <xf numFmtId="173" fontId="33" fillId="0" borderId="0">
      <alignment horizontal="left" wrapText="1"/>
    </xf>
    <xf numFmtId="0" fontId="115" fillId="0" borderId="0">
      <alignment horizontal="left" vertical="center"/>
    </xf>
    <xf numFmtId="0" fontId="115" fillId="0" borderId="0">
      <alignment horizontal="left" vertical="center"/>
    </xf>
    <xf numFmtId="0" fontId="53" fillId="0" borderId="42" applyNumberFormat="0" applyFon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0" fontId="29" fillId="0" borderId="44"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41" fontId="14" fillId="67" borderId="0">
      <alignment horizontal="left"/>
    </xf>
    <xf numFmtId="173" fontId="33" fillId="0" borderId="0">
      <alignment horizontal="left" wrapText="1"/>
    </xf>
    <xf numFmtId="173" fontId="33" fillId="0" borderId="0">
      <alignment horizontal="left" wrapText="1"/>
    </xf>
    <xf numFmtId="41" fontId="14" fillId="67" borderId="0">
      <alignment horizontal="left"/>
    </xf>
    <xf numFmtId="0" fontId="29" fillId="0" borderId="44" applyNumberFormat="0" applyFill="0" applyAlignment="0" applyProtection="0"/>
    <xf numFmtId="0" fontId="29" fillId="0" borderId="14" applyNumberFormat="0" applyFill="0" applyAlignment="0" applyProtection="0"/>
    <xf numFmtId="0" fontId="51" fillId="0" borderId="45"/>
    <xf numFmtId="0" fontId="52" fillId="0" borderId="45"/>
    <xf numFmtId="0" fontId="52" fillId="0" borderId="45"/>
    <xf numFmtId="0" fontId="51" fillId="0" borderId="45"/>
    <xf numFmtId="0" fontId="52" fillId="0" borderId="45"/>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3" fontId="33" fillId="0" borderId="0">
      <alignment horizontal="left" wrapText="1"/>
    </xf>
    <xf numFmtId="0" fontId="27" fillId="0" borderId="0" applyNumberFormat="0" applyFill="0" applyBorder="0" applyAlignment="0" applyProtection="0"/>
    <xf numFmtId="0" fontId="82" fillId="0" borderId="0" applyNumberFormat="0" applyFill="0" applyBorder="0" applyAlignment="0" applyProtection="0"/>
    <xf numFmtId="0" fontId="14" fillId="67" borderId="38" applyNumberFormat="0">
      <alignment horizontal="center" vertical="center" wrapText="1"/>
    </xf>
    <xf numFmtId="0" fontId="9" fillId="0" borderId="0">
      <alignment readingOrder="1"/>
    </xf>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alignment readingOrder="1"/>
    </xf>
    <xf numFmtId="0" fontId="9" fillId="0" borderId="0">
      <alignment readingOrder="1"/>
    </xf>
    <xf numFmtId="43" fontId="9" fillId="0" borderId="0" applyFont="0" applyFill="0" applyBorder="0" applyAlignment="0" applyProtection="0"/>
    <xf numFmtId="3" fontId="31" fillId="0" borderId="0"/>
    <xf numFmtId="9" fontId="9" fillId="0" borderId="0" applyFont="0" applyFill="0" applyBorder="0" applyAlignment="0" applyProtection="0"/>
    <xf numFmtId="0" fontId="9" fillId="89" borderId="0" applyNumberFormat="0" applyFont="0" applyFill="0" applyBorder="0" applyAlignment="0" applyProtection="0"/>
    <xf numFmtId="165" fontId="48" fillId="76" borderId="0" applyFont="0" applyFill="0" applyBorder="0" applyAlignment="0" applyProtection="0">
      <alignment wrapText="1"/>
    </xf>
    <xf numFmtId="3" fontId="31" fillId="0" borderId="0"/>
    <xf numFmtId="0" fontId="9" fillId="0" borderId="0">
      <alignment readingOrder="1"/>
    </xf>
    <xf numFmtId="38" fontId="118" fillId="0" borderId="0" applyNumberFormat="0" applyFont="0" applyFill="0" applyBorder="0">
      <alignment horizontal="left" indent="4"/>
      <protection locked="0"/>
    </xf>
    <xf numFmtId="9" fontId="48"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17" fillId="0" borderId="0"/>
    <xf numFmtId="0" fontId="48" fillId="0" borderId="0"/>
    <xf numFmtId="0" fontId="6" fillId="0" borderId="0"/>
    <xf numFmtId="0" fontId="6" fillId="0" borderId="0"/>
    <xf numFmtId="44"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1" fontId="9" fillId="0" borderId="0" applyFont="0" applyFill="0" applyBorder="0" applyAlignment="0" applyProtection="0"/>
    <xf numFmtId="0" fontId="116"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32" fillId="0" borderId="0"/>
    <xf numFmtId="0" fontId="120" fillId="77" borderId="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alignment readingOrder="1"/>
    </xf>
    <xf numFmtId="0" fontId="9" fillId="0" borderId="0">
      <alignment readingOrder="1"/>
    </xf>
    <xf numFmtId="0" fontId="9" fillId="0" borderId="0">
      <alignment readingOrder="1"/>
    </xf>
    <xf numFmtId="0" fontId="9" fillId="0" borderId="0">
      <alignment readingOrder="1"/>
    </xf>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3" fontId="31" fillId="0" borderId="0"/>
    <xf numFmtId="0" fontId="121" fillId="0" borderId="8" applyNumberFormat="0" applyFill="0" applyAlignment="0" applyProtection="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0" fontId="122" fillId="0" borderId="0" applyNumberFormat="0" applyFill="0" applyBorder="0" applyAlignment="0" applyProtection="0">
      <alignment vertical="top"/>
      <protection locked="0"/>
    </xf>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0" fontId="123" fillId="0" borderId="0" applyBorder="0">
      <alignment horizontal="centerContinuous"/>
    </xf>
    <xf numFmtId="0" fontId="124" fillId="0" borderId="0" applyBorder="0">
      <alignment horizontal="centerContinuous"/>
    </xf>
    <xf numFmtId="0" fontId="125" fillId="67" borderId="0">
      <alignment horizontal="right"/>
    </xf>
    <xf numFmtId="0" fontId="124" fillId="67" borderId="46"/>
    <xf numFmtId="42" fontId="9" fillId="0" borderId="0" applyFont="0" applyFill="0" applyBorder="0" applyAlignment="0" applyProtection="0"/>
    <xf numFmtId="0" fontId="12" fillId="69" borderId="0">
      <alignment horizontal="left"/>
    </xf>
    <xf numFmtId="0" fontId="126" fillId="69" borderId="0">
      <alignment horizontal="right"/>
    </xf>
    <xf numFmtId="0" fontId="126" fillId="69" borderId="0">
      <alignment horizontal="center"/>
    </xf>
    <xf numFmtId="0" fontId="126" fillId="69" borderId="0">
      <alignment horizontal="right"/>
    </xf>
    <xf numFmtId="0" fontId="127" fillId="69" borderId="0">
      <alignment horizontal="left"/>
    </xf>
    <xf numFmtId="41"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69" borderId="0">
      <alignment horizontal="left"/>
    </xf>
    <xf numFmtId="0" fontId="12" fillId="69"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28" fillId="6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12" fillId="69" borderId="0">
      <alignment horizontal="center"/>
    </xf>
    <xf numFmtId="49" fontId="100" fillId="69" borderId="0">
      <alignment horizontal="center"/>
    </xf>
    <xf numFmtId="0" fontId="126" fillId="69" borderId="0">
      <alignment horizontal="center"/>
    </xf>
    <xf numFmtId="0" fontId="126" fillId="69" borderId="0">
      <alignment horizontal="centerContinuous"/>
    </xf>
    <xf numFmtId="0" fontId="59" fillId="69" borderId="0">
      <alignment horizontal="left"/>
    </xf>
    <xf numFmtId="49" fontId="59" fillId="69" borderId="0">
      <alignment horizontal="center"/>
    </xf>
    <xf numFmtId="0" fontId="12" fillId="69" borderId="0">
      <alignment horizontal="left"/>
    </xf>
    <xf numFmtId="49" fontId="59" fillId="69" borderId="0">
      <alignment horizontal="left"/>
    </xf>
    <xf numFmtId="0" fontId="12" fillId="69" borderId="0">
      <alignment horizontal="centerContinuous"/>
    </xf>
    <xf numFmtId="0" fontId="12" fillId="69" borderId="0">
      <alignment horizontal="right"/>
    </xf>
    <xf numFmtId="49" fontId="12" fillId="69" borderId="0">
      <alignment horizontal="left"/>
    </xf>
    <xf numFmtId="0" fontId="126" fillId="69" borderId="0">
      <alignment horizontal="right"/>
    </xf>
    <xf numFmtId="0" fontId="59" fillId="102" borderId="0">
      <alignment horizontal="center"/>
    </xf>
    <xf numFmtId="0" fontId="62" fillId="102" borderId="0">
      <alignment horizontal="center"/>
    </xf>
    <xf numFmtId="0" fontId="129" fillId="69" borderId="0">
      <alignment horizontal="center"/>
    </xf>
    <xf numFmtId="0" fontId="9" fillId="0" borderId="0"/>
    <xf numFmtId="43" fontId="1" fillId="0" borderId="0" applyFont="0" applyFill="0" applyBorder="0" applyAlignment="0" applyProtection="0"/>
    <xf numFmtId="9" fontId="1" fillId="0" borderId="0" applyFont="0" applyFill="0" applyBorder="0" applyAlignment="0" applyProtection="0"/>
    <xf numFmtId="0" fontId="18" fillId="0" borderId="8" applyNumberFormat="0" applyFill="0" applyAlignment="0" applyProtection="0"/>
    <xf numFmtId="43" fontId="1" fillId="0" borderId="0" applyFont="0" applyFill="0" applyBorder="0" applyAlignment="0" applyProtection="0"/>
    <xf numFmtId="164" fontId="6" fillId="103" borderId="0" applyFont="0" applyFill="0" applyBorder="0" applyAlignment="0" applyProtection="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1" fillId="0" borderId="0"/>
    <xf numFmtId="0" fontId="11"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8"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8"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8"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8"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8" fillId="4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6" borderId="0" applyNumberFormat="0" applyBorder="0" applyAlignment="0" applyProtection="0"/>
    <xf numFmtId="0" fontId="39" fillId="4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9" fillId="37" borderId="0" applyNumberFormat="0" applyBorder="0" applyAlignment="0" applyProtection="0"/>
    <xf numFmtId="0" fontId="30" fillId="21" borderId="0" applyNumberFormat="0" applyBorder="0" applyAlignment="0" applyProtection="0"/>
    <xf numFmtId="0" fontId="42" fillId="68" borderId="16" applyNumberFormat="0" applyAlignment="0" applyProtection="0"/>
    <xf numFmtId="0" fontId="30" fillId="21" borderId="0" applyNumberFormat="0" applyBorder="0" applyAlignment="0" applyProtection="0"/>
    <xf numFmtId="0" fontId="30" fillId="43" borderId="0" applyNumberFormat="0" applyBorder="0" applyAlignment="0" applyProtection="0"/>
    <xf numFmtId="0" fontId="39" fillId="4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48" borderId="0" applyNumberFormat="0" applyBorder="0" applyAlignment="0" applyProtection="0"/>
    <xf numFmtId="0" fontId="39" fillId="4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9" fillId="4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50" borderId="0" applyNumberFormat="0" applyBorder="0" applyAlignment="0" applyProtection="0"/>
    <xf numFmtId="0" fontId="39" fillId="50" borderId="0" applyNumberFormat="0" applyBorder="0" applyAlignment="0" applyProtection="0"/>
    <xf numFmtId="0" fontId="30" fillId="10" borderId="0" applyNumberFormat="0" applyBorder="0" applyAlignment="0" applyProtection="0"/>
    <xf numFmtId="0" fontId="30" fillId="54"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18"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48"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0" fillId="30" borderId="0" applyNumberFormat="0" applyBorder="0" applyAlignment="0" applyProtection="0"/>
    <xf numFmtId="206" fontId="130" fillId="85" borderId="0" applyNumberFormat="0" applyBorder="0" applyAlignment="0" applyProtection="0"/>
    <xf numFmtId="206" fontId="79" fillId="104" borderId="0" applyNumberFormat="0" applyBorder="0" applyAlignment="0" applyProtection="0"/>
    <xf numFmtId="206" fontId="79" fillId="10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31" fillId="4" borderId="0" applyNumberFormat="0" applyBorder="0" applyAlignment="0" applyProtection="0"/>
    <xf numFmtId="0" fontId="40" fillId="36" borderId="0" applyNumberFormat="0" applyBorder="0" applyAlignment="0" applyProtection="0"/>
    <xf numFmtId="0" fontId="6" fillId="0" borderId="0" applyFill="0" applyBorder="0" applyAlignment="0" applyProtection="0"/>
    <xf numFmtId="0" fontId="24" fillId="7" borderId="9" applyNumberFormat="0" applyAlignment="0" applyProtection="0"/>
    <xf numFmtId="0" fontId="24" fillId="68" borderId="9" applyNumberFormat="0" applyAlignment="0" applyProtection="0"/>
    <xf numFmtId="0" fontId="42" fillId="68" borderId="16" applyNumberFormat="0" applyAlignment="0" applyProtection="0"/>
    <xf numFmtId="0" fontId="76" fillId="0" borderId="0" applyFill="0" applyBorder="0" applyProtection="0">
      <alignment horizontal="center" vertical="center"/>
    </xf>
    <xf numFmtId="0" fontId="132" fillId="0" borderId="0" applyFill="0" applyBorder="0" applyProtection="0">
      <alignment horizontal="center"/>
      <protection locked="0"/>
    </xf>
    <xf numFmtId="0" fontId="76" fillId="0" borderId="0" applyFill="0" applyBorder="0" applyProtection="0">
      <alignment horizontal="center" vertical="center"/>
    </xf>
    <xf numFmtId="0" fontId="26" fillId="8" borderId="12" applyNumberFormat="0" applyAlignment="0" applyProtection="0"/>
    <xf numFmtId="0" fontId="26" fillId="8" borderId="12" applyNumberFormat="0" applyAlignment="0" applyProtection="0"/>
    <xf numFmtId="0" fontId="44" fillId="70" borderId="17" applyNumberFormat="0" applyAlignment="0" applyProtection="0"/>
    <xf numFmtId="0" fontId="133" fillId="0" borderId="47">
      <alignment horizontal="center"/>
    </xf>
    <xf numFmtId="207" fontId="134" fillId="0" borderId="0" applyFont="0" applyFill="0" applyBorder="0" applyAlignment="0" applyProtection="0">
      <alignment horizontal="right"/>
    </xf>
    <xf numFmtId="208" fontId="135" fillId="0" borderId="0" applyFont="0" applyFill="0" applyBorder="0" applyAlignment="0" applyProtection="0"/>
    <xf numFmtId="209" fontId="136" fillId="0" borderId="0" applyFont="0" applyFill="0" applyBorder="0" applyAlignment="0" applyProtection="0"/>
    <xf numFmtId="210"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38"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9"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2" fontId="135" fillId="0" borderId="0">
      <protection locked="0"/>
    </xf>
    <xf numFmtId="0" fontId="141" fillId="0" borderId="0" applyFill="0" applyBorder="0" applyAlignment="0" applyProtection="0"/>
    <xf numFmtId="0" fontId="142" fillId="0" borderId="0" applyFill="0" applyBorder="0" applyAlignment="0" applyProtection="0">
      <protection locked="0"/>
    </xf>
    <xf numFmtId="0" fontId="141" fillId="0" borderId="0" applyFill="0" applyBorder="0" applyAlignment="0" applyProtection="0"/>
    <xf numFmtId="213" fontId="136" fillId="0" borderId="0" applyFont="0" applyFill="0" applyBorder="0" applyAlignment="0" applyProtection="0"/>
    <xf numFmtId="214" fontId="136" fillId="0" borderId="0" applyFont="0" applyFill="0" applyBorder="0" applyAlignment="0" applyProtection="0"/>
    <xf numFmtId="215" fontId="13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8"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6" fontId="135" fillId="0" borderId="0">
      <protection locked="0"/>
    </xf>
    <xf numFmtId="185" fontId="143" fillId="0" borderId="0" applyFont="0" applyFill="0" applyBorder="0" applyAlignment="0" applyProtection="0"/>
    <xf numFmtId="206" fontId="144" fillId="0"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3" fillId="0" borderId="0" applyNumberFormat="0" applyFill="0" applyBorder="0" applyAlignment="0" applyProtection="0"/>
    <xf numFmtId="217" fontId="145" fillId="0" borderId="0"/>
    <xf numFmtId="218" fontId="145" fillId="0" borderId="0"/>
    <xf numFmtId="165" fontId="145" fillId="0" borderId="0"/>
    <xf numFmtId="218" fontId="145" fillId="0" borderId="0"/>
    <xf numFmtId="219" fontId="145" fillId="0" borderId="0"/>
    <xf numFmtId="219" fontId="145" fillId="0" borderId="0"/>
    <xf numFmtId="217" fontId="145" fillId="0" borderId="0"/>
    <xf numFmtId="188" fontId="145" fillId="0" borderId="0"/>
    <xf numFmtId="220" fontId="145" fillId="0" borderId="0"/>
    <xf numFmtId="221" fontId="145" fillId="0" borderId="0"/>
    <xf numFmtId="222" fontId="145" fillId="0" borderId="0"/>
    <xf numFmtId="0" fontId="19" fillId="3" borderId="0" applyNumberFormat="0" applyBorder="0" applyAlignment="0" applyProtection="0"/>
    <xf numFmtId="0" fontId="19" fillId="3" borderId="0" applyNumberFormat="0" applyBorder="0" applyAlignment="0" applyProtection="0"/>
    <xf numFmtId="0" fontId="64" fillId="38" borderId="0" applyNumberFormat="0" applyBorder="0" applyAlignment="0" applyProtection="0"/>
    <xf numFmtId="0" fontId="16" fillId="0" borderId="6" applyNumberFormat="0" applyFill="0" applyAlignment="0" applyProtection="0"/>
    <xf numFmtId="0" fontId="146" fillId="0" borderId="21" applyNumberFormat="0" applyFill="0" applyAlignment="0" applyProtection="0"/>
    <xf numFmtId="0" fontId="69" fillId="0" borderId="21" applyNumberFormat="0" applyFill="0" applyAlignment="0" applyProtection="0"/>
    <xf numFmtId="0" fontId="17" fillId="0" borderId="7" applyNumberFormat="0" applyFill="0" applyAlignment="0" applyProtection="0"/>
    <xf numFmtId="0" fontId="147" fillId="0" borderId="7" applyNumberFormat="0" applyFill="0" applyAlignment="0" applyProtection="0"/>
    <xf numFmtId="0" fontId="72" fillId="0" borderId="23"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48" fillId="0" borderId="25" applyNumberFormat="0" applyFill="0" applyAlignment="0" applyProtection="0"/>
    <xf numFmtId="0" fontId="74" fillId="0" borderId="2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8" fillId="0" borderId="0" applyNumberFormat="0" applyFill="0" applyBorder="0" applyAlignment="0" applyProtection="0"/>
    <xf numFmtId="0" fontId="74" fillId="0" borderId="0" applyNumberFormat="0" applyFill="0" applyBorder="0" applyAlignment="0" applyProtection="0"/>
    <xf numFmtId="0" fontId="14" fillId="0" borderId="0" applyFill="0" applyAlignment="0" applyProtection="0"/>
    <xf numFmtId="0" fontId="132" fillId="0" borderId="0" applyFill="0" applyAlignment="0" applyProtection="0">
      <protection locked="0"/>
    </xf>
    <xf numFmtId="0" fontId="14" fillId="0" borderId="0" applyFill="0" applyAlignment="0" applyProtection="0"/>
    <xf numFmtId="0" fontId="14" fillId="0" borderId="38" applyFill="0" applyAlignment="0" applyProtection="0"/>
    <xf numFmtId="0" fontId="132" fillId="0" borderId="38" applyFill="0" applyAlignment="0" applyProtection="0">
      <protection locked="0"/>
    </xf>
    <xf numFmtId="0" fontId="14" fillId="0" borderId="38" applyFill="0" applyAlignment="0" applyProtection="0"/>
    <xf numFmtId="0" fontId="132" fillId="0" borderId="0" applyFill="0" applyAlignment="0" applyProtection="0"/>
    <xf numFmtId="206" fontId="149" fillId="67" borderId="0" applyNumberFormat="0" applyBorder="0" applyAlignment="0" applyProtection="0"/>
    <xf numFmtId="0" fontId="22" fillId="6" borderId="9" applyNumberFormat="0" applyAlignment="0" applyProtection="0"/>
    <xf numFmtId="206" fontId="79" fillId="76" borderId="0" applyNumberFormat="0" applyBorder="0" applyAlignment="0" applyProtection="0"/>
    <xf numFmtId="206" fontId="79" fillId="76" borderId="0" applyNumberFormat="0" applyBorder="0" applyAlignment="0" applyProtection="0"/>
    <xf numFmtId="0" fontId="25" fillId="0" borderId="11" applyNumberFormat="0" applyFill="0" applyAlignment="0" applyProtection="0"/>
    <xf numFmtId="0" fontId="25" fillId="0" borderId="11" applyNumberFormat="0" applyFill="0" applyAlignment="0" applyProtection="0"/>
    <xf numFmtId="0" fontId="81" fillId="0" borderId="30"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83" fillId="44" borderId="0" applyNumberFormat="0" applyBorder="0" applyAlignment="0" applyProtection="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37" fillId="0" borderId="0"/>
    <xf numFmtId="206" fontId="9" fillId="0" borderId="0"/>
    <xf numFmtId="0" fontId="137"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0" fontId="9"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9" fillId="0" borderId="0"/>
    <xf numFmtId="0" fontId="9" fillId="0" borderId="0"/>
    <xf numFmtId="0" fontId="6" fillId="0" borderId="0"/>
    <xf numFmtId="0" fontId="9"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9" fillId="0" borderId="0"/>
    <xf numFmtId="0" fontId="11" fillId="0" borderId="0">
      <alignment vertical="top"/>
    </xf>
    <xf numFmtId="0" fontId="9" fillId="0" borderId="0"/>
    <xf numFmtId="0" fontId="9" fillId="0" borderId="0"/>
    <xf numFmtId="206" fontId="9" fillId="0" borderId="0"/>
    <xf numFmtId="0" fontId="1"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6"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205" fontId="9" fillId="0" borderId="0"/>
    <xf numFmtId="0" fontId="11" fillId="0" borderId="0">
      <alignment vertical="top"/>
    </xf>
    <xf numFmtId="0" fontId="11" fillId="0" borderId="0">
      <alignment vertical="top"/>
    </xf>
    <xf numFmtId="0" fontId="31" fillId="0" borderId="0"/>
    <xf numFmtId="0" fontId="1" fillId="0" borderId="0"/>
    <xf numFmtId="0" fontId="31" fillId="0" borderId="0"/>
    <xf numFmtId="0" fontId="31" fillId="0" borderId="0"/>
    <xf numFmtId="0" fontId="31" fillId="0" borderId="0"/>
    <xf numFmtId="206" fontId="31" fillId="0" borderId="0"/>
    <xf numFmtId="206" fontId="31" fillId="0" borderId="0"/>
    <xf numFmtId="0" fontId="11" fillId="0" borderId="0">
      <alignment vertical="top"/>
    </xf>
    <xf numFmtId="206" fontId="31" fillId="0" borderId="0"/>
    <xf numFmtId="206" fontId="31" fillId="0" borderId="0"/>
    <xf numFmtId="0" fontId="31" fillId="0" borderId="0"/>
    <xf numFmtId="0" fontId="1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9" fillId="39" borderId="34" applyNumberFormat="0" applyFont="0" applyAlignment="0" applyProtection="0"/>
    <xf numFmtId="0" fontId="1" fillId="9" borderId="13" applyNumberFormat="0" applyFont="0" applyAlignment="0" applyProtection="0"/>
    <xf numFmtId="0" fontId="23" fillId="7" borderId="10" applyNumberFormat="0" applyAlignment="0" applyProtection="0"/>
    <xf numFmtId="0" fontId="23" fillId="7" borderId="10" applyNumberFormat="0" applyAlignment="0" applyProtection="0"/>
    <xf numFmtId="0" fontId="23" fillId="68" borderId="10" applyNumberFormat="0" applyAlignment="0" applyProtection="0"/>
    <xf numFmtId="0" fontId="90" fillId="68" borderId="35" applyNumberFormat="0" applyAlignment="0" applyProtection="0"/>
    <xf numFmtId="206" fontId="9" fillId="103" borderId="0" applyNumberFormat="0" applyBorder="0" applyAlignment="0" applyProtection="0"/>
    <xf numFmtId="206" fontId="9" fillId="103" borderId="0" applyNumberFormat="0" applyBorder="0" applyAlignment="0" applyProtection="0"/>
    <xf numFmtId="223" fontId="136" fillId="0" borderId="0" applyFont="0" applyFill="0" applyBorder="0" applyAlignment="0" applyProtection="0"/>
    <xf numFmtId="224" fontId="135" fillId="0" borderId="0" applyFont="0" applyFill="0" applyBorder="0" applyAlignment="0" applyProtection="0"/>
    <xf numFmtId="225" fontId="136" fillId="0" borderId="0" applyFont="0" applyFill="0" applyBorder="0" applyAlignment="0" applyProtection="0"/>
    <xf numFmtId="226" fontId="135" fillId="0" borderId="0" applyFont="0" applyFill="0" applyBorder="0" applyAlignment="0" applyProtection="0"/>
    <xf numFmtId="227" fontId="136" fillId="0" borderId="0" applyFont="0" applyFill="0" applyBorder="0" applyAlignment="0" applyProtection="0"/>
    <xf numFmtId="228" fontId="135" fillId="0" borderId="0" applyFont="0" applyFill="0" applyBorder="0" applyAlignment="0" applyProtection="0"/>
    <xf numFmtId="229" fontId="136" fillId="0" borderId="0" applyFont="0" applyFill="0" applyBorder="0" applyAlignment="0" applyProtection="0"/>
    <xf numFmtId="230" fontId="135" fillId="0" borderId="0" applyFont="0" applyFill="0" applyBorder="0" applyAlignment="0" applyProtection="0"/>
    <xf numFmtId="231" fontId="135" fillId="0" borderId="0" applyFont="0" applyFill="0" applyBorder="0" applyAlignment="0" applyProtection="0"/>
    <xf numFmtId="232" fontId="1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6" fontId="130" fillId="85" borderId="0" applyNumberFormat="0" applyBorder="0" applyAlignment="0" applyProtection="0"/>
    <xf numFmtId="0" fontId="150" fillId="0" borderId="0">
      <alignment horizontal="right"/>
    </xf>
    <xf numFmtId="0" fontId="151" fillId="0" borderId="0">
      <alignment horizontal="right"/>
    </xf>
    <xf numFmtId="0" fontId="145" fillId="0" borderId="0"/>
    <xf numFmtId="0" fontId="152" fillId="0" borderId="0" applyNumberFormat="0" applyBorder="0" applyAlignment="0"/>
    <xf numFmtId="0" fontId="152" fillId="0" borderId="0" applyNumberFormat="0" applyBorder="0" applyAlignment="0"/>
    <xf numFmtId="0" fontId="11" fillId="0" borderId="0" applyNumberFormat="0" applyBorder="0" applyAlignment="0"/>
    <xf numFmtId="206" fontId="11" fillId="0" borderId="0" applyNumberFormat="0" applyBorder="0" applyAlignment="0"/>
    <xf numFmtId="0" fontId="145" fillId="0" borderId="0"/>
    <xf numFmtId="206" fontId="11" fillId="0" borderId="0" applyNumberFormat="0" applyBorder="0" applyAlignment="0"/>
    <xf numFmtId="0" fontId="153" fillId="0" borderId="0"/>
    <xf numFmtId="0" fontId="154" fillId="0" borderId="0" applyNumberFormat="0" applyBorder="0" applyAlignment="0"/>
    <xf numFmtId="0" fontId="154" fillId="0" borderId="0" applyNumberFormat="0" applyBorder="0" applyAlignment="0"/>
    <xf numFmtId="0" fontId="153" fillId="0" borderId="0"/>
    <xf numFmtId="0" fontId="155" fillId="0" borderId="0"/>
    <xf numFmtId="206" fontId="156" fillId="0" borderId="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applyNumberFormat="0" applyBorder="0" applyAlignment="0"/>
    <xf numFmtId="0" fontId="160" fillId="0" borderId="0"/>
    <xf numFmtId="206" fontId="161" fillId="0" borderId="0"/>
    <xf numFmtId="0" fontId="162" fillId="0" borderId="0"/>
    <xf numFmtId="0" fontId="158" fillId="105" borderId="0" applyNumberFormat="0" applyBorder="0" applyAlignment="0"/>
    <xf numFmtId="0" fontId="163" fillId="0" borderId="0"/>
    <xf numFmtId="0" fontId="164" fillId="0" borderId="0"/>
    <xf numFmtId="0" fontId="165" fillId="0" borderId="0"/>
    <xf numFmtId="0" fontId="164" fillId="79" borderId="0"/>
    <xf numFmtId="0" fontId="15" fillId="0" borderId="0" applyNumberFormat="0" applyFill="0" applyBorder="0" applyAlignment="0" applyProtection="0"/>
    <xf numFmtId="0" fontId="166" fillId="71" borderId="48" applyNumberFormat="0">
      <alignment horizontal="left"/>
    </xf>
    <xf numFmtId="0" fontId="15" fillId="0" borderId="0" applyNumberFormat="0" applyFill="0" applyBorder="0" applyAlignment="0" applyProtection="0"/>
    <xf numFmtId="0" fontId="167" fillId="0" borderId="0" applyNumberFormat="0" applyFill="0" applyBorder="0" applyAlignment="0" applyProtection="0"/>
    <xf numFmtId="0" fontId="112" fillId="0" borderId="0" applyNumberFormat="0" applyFill="0" applyBorder="0" applyAlignment="0" applyProtection="0"/>
    <xf numFmtId="0" fontId="166" fillId="71" borderId="49">
      <alignment horizontal="left"/>
    </xf>
    <xf numFmtId="3" fontId="31" fillId="0" borderId="0"/>
    <xf numFmtId="0" fontId="29" fillId="0" borderId="14"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27" fillId="0" borderId="0" applyNumberFormat="0" applyFill="0" applyBorder="0" applyAlignment="0" applyProtection="0"/>
    <xf numFmtId="0" fontId="31" fillId="0" borderId="0"/>
    <xf numFmtId="0" fontId="27" fillId="0" borderId="0" applyNumberFormat="0" applyFill="0" applyBorder="0" applyAlignment="0" applyProtection="0"/>
    <xf numFmtId="0" fontId="82" fillId="0" borderId="0" applyNumberFormat="0" applyFill="0" applyBorder="0" applyAlignment="0" applyProtection="0"/>
    <xf numFmtId="206" fontId="14" fillId="86" borderId="0" applyNumberFormat="0" applyBorder="0" applyAlignment="0" applyProtection="0"/>
    <xf numFmtId="233" fontId="135" fillId="0" borderId="0" applyFont="0" applyFill="0" applyBorder="0" applyAlignment="0" applyProtection="0"/>
    <xf numFmtId="234" fontId="135" fillId="0" borderId="0" applyFont="0" applyFill="0" applyBorder="0" applyAlignment="0" applyProtection="0"/>
    <xf numFmtId="235" fontId="135" fillId="0" borderId="0" applyFont="0" applyFill="0" applyBorder="0" applyAlignment="0" applyProtection="0"/>
    <xf numFmtId="236" fontId="135" fillId="0" borderId="0" applyFont="0" applyFill="0" applyBorder="0" applyAlignment="0" applyProtection="0"/>
    <xf numFmtId="237" fontId="135" fillId="0" borderId="0" applyFont="0" applyFill="0" applyBorder="0" applyAlignment="0" applyProtection="0"/>
    <xf numFmtId="238" fontId="135" fillId="0" borderId="0" applyFont="0" applyFill="0" applyBorder="0" applyAlignment="0" applyProtection="0"/>
    <xf numFmtId="239" fontId="135" fillId="0" borderId="0" applyFont="0" applyFill="0" applyBorder="0" applyAlignment="0" applyProtection="0"/>
    <xf numFmtId="240" fontId="135" fillId="0" borderId="0" applyFont="0" applyFill="0" applyBorder="0" applyAlignment="0" applyProtection="0"/>
    <xf numFmtId="241" fontId="6" fillId="0" borderId="0" applyFont="0" applyFill="0" applyBorder="0" applyAlignment="0" applyProtection="0">
      <alignment horizontal="right"/>
    </xf>
    <xf numFmtId="3" fontId="31" fillId="0" borderId="0"/>
    <xf numFmtId="0" fontId="121" fillId="0" borderId="8" applyNumberFormat="0" applyFill="0" applyAlignment="0" applyProtection="0"/>
    <xf numFmtId="3" fontId="31" fillId="0" borderId="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121" fillId="0" borderId="8" applyNumberFormat="0" applyFill="0" applyAlignment="0" applyProtection="0"/>
    <xf numFmtId="0" fontId="3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90" fillId="68" borderId="35" applyNumberFormat="0" applyAlignment="0" applyProtection="0"/>
    <xf numFmtId="0" fontId="42" fillId="68" borderId="16" applyNumberFormat="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0" fontId="9" fillId="39" borderId="34" applyNumberFormat="0" applyFont="0" applyAlignment="0" applyProtection="0"/>
    <xf numFmtId="9" fontId="31" fillId="0" borderId="0" applyFont="0" applyFill="0" applyBorder="0" applyAlignment="0" applyProtection="0"/>
    <xf numFmtId="0" fontId="61" fillId="0" borderId="43" applyNumberFormat="0" applyFill="0" applyAlignment="0" applyProtection="0"/>
    <xf numFmtId="43"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31" fillId="0" borderId="0" applyFont="0" applyFill="0" applyBorder="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9" fontId="31" fillId="0" borderId="0" applyFont="0" applyFill="0" applyBorder="0" applyAlignment="0" applyProtection="0"/>
    <xf numFmtId="0" fontId="90" fillId="68" borderId="35" applyNumberFormat="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29" fillId="0" borderId="43" applyNumberFormat="0" applyFill="0" applyAlignment="0" applyProtection="0"/>
    <xf numFmtId="0" fontId="61"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1"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9" fontId="49" fillId="0" borderId="0"/>
    <xf numFmtId="40" fontId="47" fillId="0" borderId="0" applyFont="0" applyFill="0" applyBorder="0" applyAlignment="0" applyProtection="0"/>
    <xf numFmtId="8" fontId="47" fillId="0" borderId="0" applyFont="0" applyFill="0" applyBorder="0" applyAlignment="0" applyProtection="0"/>
    <xf numFmtId="9" fontId="47" fillId="0" borderId="0" applyFont="0" applyFill="0" applyBorder="0" applyAlignment="0" applyProtection="0"/>
    <xf numFmtId="0" fontId="168" fillId="0" borderId="0"/>
    <xf numFmtId="44" fontId="168"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3" fontId="65"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4" fontId="65" fillId="0" borderId="0" applyFont="0" applyFill="0" applyBorder="0" applyAlignment="0" applyProtection="0"/>
    <xf numFmtId="0" fontId="65" fillId="0" borderId="0" applyFont="0" applyFill="0" applyBorder="0" applyAlignment="0" applyProtection="0"/>
    <xf numFmtId="2" fontId="65" fillId="0" borderId="0" applyFont="0" applyFill="0" applyBorder="0" applyAlignment="0" applyProtection="0"/>
    <xf numFmtId="0" fontId="65" fillId="0" borderId="0"/>
    <xf numFmtId="0" fontId="31" fillId="0" borderId="0"/>
    <xf numFmtId="0" fontId="1" fillId="0" borderId="0"/>
    <xf numFmtId="10" fontId="65"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43"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0" fontId="31" fillId="0" borderId="0"/>
    <xf numFmtId="9" fontId="31"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44" fontId="168" fillId="0" borderId="0" applyFont="0" applyFill="0" applyBorder="0" applyAlignment="0" applyProtection="0"/>
    <xf numFmtId="9" fontId="168"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8" fillId="41"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0" fillId="68" borderId="35" applyNumberFormat="0" applyAlignment="0" applyProtection="0"/>
    <xf numFmtId="0" fontId="42" fillId="68" borderId="16" applyNumberFormat="0" applyAlignment="0" applyProtection="0"/>
    <xf numFmtId="0" fontId="42" fillId="68" borderId="16" applyNumberFormat="0" applyAlignment="0" applyProtection="0"/>
    <xf numFmtId="0" fontId="9" fillId="39" borderId="34" applyNumberFormat="0" applyFon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0" fontId="90" fillId="68" borderId="35" applyNumberFormat="0" applyAlignment="0" applyProtection="0"/>
    <xf numFmtId="0" fontId="29" fillId="0" borderId="43"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61" fillId="0" borderId="43" applyNumberFormat="0" applyFill="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42" fillId="68" borderId="16"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3" fontId="65" fillId="0" borderId="0" applyFont="0" applyFill="0" applyBorder="0" applyAlignment="0" applyProtection="0"/>
    <xf numFmtId="0" fontId="42" fillId="68" borderId="16" applyNumberFormat="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38" fillId="39" borderId="34" applyNumberFormat="0" applyFont="0" applyAlignment="0" applyProtection="0"/>
    <xf numFmtId="0" fontId="38"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9" borderId="35" applyNumberFormat="0" applyAlignment="0" applyProtection="0"/>
    <xf numFmtId="42" fontId="9" fillId="67" borderId="2">
      <alignment horizontal="left"/>
    </xf>
    <xf numFmtId="42" fontId="9" fillId="67" borderId="2">
      <alignment horizontal="left"/>
    </xf>
    <xf numFmtId="42" fontId="9" fillId="67" borderId="2">
      <alignment horizontal="left"/>
    </xf>
    <xf numFmtId="42" fontId="9" fillId="67" borderId="2">
      <alignment horizontal="left"/>
    </xf>
    <xf numFmtId="201" fontId="98" fillId="67" borderId="2">
      <alignment horizontal="left"/>
    </xf>
    <xf numFmtId="201" fontId="98" fillId="67" borderId="2">
      <alignment horizontal="left"/>
    </xf>
    <xf numFmtId="4" fontId="11" fillId="76" borderId="35" applyNumberFormat="0" applyProtection="0">
      <alignment vertical="center"/>
    </xf>
    <xf numFmtId="4" fontId="11" fillId="76" borderId="35" applyNumberFormat="0" applyProtection="0">
      <alignment vertical="center"/>
    </xf>
    <xf numFmtId="4" fontId="99" fillId="76" borderId="35" applyNumberFormat="0" applyProtection="0">
      <alignment vertical="center"/>
    </xf>
    <xf numFmtId="4" fontId="99" fillId="76" borderId="35" applyNumberFormat="0" applyProtection="0">
      <alignment vertical="center"/>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4" fontId="11" fillId="83" borderId="35" applyNumberFormat="0" applyProtection="0">
      <alignment horizontal="right" vertical="center"/>
    </xf>
    <xf numFmtId="4" fontId="11" fillId="84" borderId="35" applyNumberFormat="0" applyProtection="0">
      <alignment horizontal="right" vertical="center"/>
    </xf>
    <xf numFmtId="4" fontId="11" fillId="84" borderId="35" applyNumberFormat="0" applyProtection="0">
      <alignment horizontal="right" vertical="center"/>
    </xf>
    <xf numFmtId="4" fontId="11" fillId="85" borderId="35" applyNumberFormat="0" applyProtection="0">
      <alignment horizontal="right" vertical="center"/>
    </xf>
    <xf numFmtId="4" fontId="11" fillId="85" borderId="35" applyNumberFormat="0" applyProtection="0">
      <alignment horizontal="right" vertical="center"/>
    </xf>
    <xf numFmtId="4" fontId="11" fillId="86" borderId="35" applyNumberFormat="0" applyProtection="0">
      <alignment horizontal="right" vertical="center"/>
    </xf>
    <xf numFmtId="4" fontId="11" fillId="86" borderId="35" applyNumberFormat="0" applyProtection="0">
      <alignment horizontal="right" vertical="center"/>
    </xf>
    <xf numFmtId="4" fontId="11" fillId="87" borderId="35" applyNumberFormat="0" applyProtection="0">
      <alignment horizontal="right" vertical="center"/>
    </xf>
    <xf numFmtId="4" fontId="11" fillId="87" borderId="35" applyNumberFormat="0" applyProtection="0">
      <alignment horizontal="right" vertical="center"/>
    </xf>
    <xf numFmtId="4" fontId="11" fillId="88" borderId="35" applyNumberFormat="0" applyProtection="0">
      <alignment horizontal="right" vertical="center"/>
    </xf>
    <xf numFmtId="4" fontId="11" fillId="88" borderId="35" applyNumberFormat="0" applyProtection="0">
      <alignment horizontal="right" vertical="center"/>
    </xf>
    <xf numFmtId="4" fontId="11" fillId="89" borderId="35" applyNumberFormat="0" applyProtection="0">
      <alignment horizontal="right" vertical="center"/>
    </xf>
    <xf numFmtId="4" fontId="11" fillId="89" borderId="35" applyNumberFormat="0" applyProtection="0">
      <alignment horizontal="right" vertical="center"/>
    </xf>
    <xf numFmtId="4" fontId="11" fillId="90" borderId="35" applyNumberFormat="0" applyProtection="0">
      <alignment horizontal="right" vertical="center"/>
    </xf>
    <xf numFmtId="4" fontId="11" fillId="90" borderId="35" applyNumberFormat="0" applyProtection="0">
      <alignment horizontal="right" vertical="center"/>
    </xf>
    <xf numFmtId="4" fontId="11" fillId="91" borderId="35" applyNumberFormat="0" applyProtection="0">
      <alignment horizontal="right" vertical="center"/>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2"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8" borderId="35" applyNumberFormat="0" applyProtection="0">
      <alignment vertical="center"/>
    </xf>
    <xf numFmtId="4" fontId="11" fillId="98" borderId="35" applyNumberFormat="0" applyProtection="0">
      <alignment vertical="center"/>
    </xf>
    <xf numFmtId="4" fontId="99" fillId="98" borderId="35" applyNumberFormat="0" applyProtection="0">
      <alignment vertical="center"/>
    </xf>
    <xf numFmtId="4" fontId="99" fillId="98" borderId="35" applyNumberFormat="0" applyProtection="0">
      <alignment vertical="center"/>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4" fontId="11" fillId="94" borderId="35" applyNumberFormat="0" applyProtection="0">
      <alignment horizontal="right" vertical="center"/>
    </xf>
    <xf numFmtId="4" fontId="99" fillId="94" borderId="35" applyNumberFormat="0" applyProtection="0">
      <alignment horizontal="right" vertical="center"/>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04" fillId="94" borderId="35" applyNumberFormat="0" applyProtection="0">
      <alignment horizontal="right" vertical="center"/>
    </xf>
    <xf numFmtId="4" fontId="104" fillId="94" borderId="35" applyNumberFormat="0" applyProtection="0">
      <alignment horizontal="right" vertical="center"/>
    </xf>
    <xf numFmtId="38" fontId="76" fillId="0" borderId="2"/>
    <xf numFmtId="38" fontId="76" fillId="0" borderId="2"/>
    <xf numFmtId="38" fontId="76" fillId="0" borderId="2"/>
    <xf numFmtId="38" fontId="76" fillId="0" borderId="2"/>
    <xf numFmtId="0" fontId="76" fillId="0" borderId="2"/>
    <xf numFmtId="0" fontId="76" fillId="0" borderId="2"/>
    <xf numFmtId="0" fontId="76" fillId="0" borderId="2"/>
    <xf numFmtId="38" fontId="76" fillId="0" borderId="2"/>
    <xf numFmtId="38" fontId="76" fillId="0" borderId="2"/>
    <xf numFmtId="38" fontId="76" fillId="0" borderId="2"/>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67" borderId="51" applyNumberFormat="0">
      <alignment horizontal="center" vertical="center" wrapText="1"/>
    </xf>
    <xf numFmtId="0" fontId="14" fillId="67" borderId="51" applyNumberFormat="0">
      <alignment horizontal="center" vertical="center" wrapText="1"/>
    </xf>
    <xf numFmtId="0" fontId="66" fillId="0" borderId="52"/>
    <xf numFmtId="0" fontId="95" fillId="79" borderId="52"/>
    <xf numFmtId="0" fontId="14" fillId="67" borderId="51" applyNumberFormat="0">
      <alignment horizontal="center" vertical="center" wrapText="1"/>
    </xf>
    <xf numFmtId="0" fontId="14" fillId="67" borderId="51" applyNumberFormat="0">
      <alignment horizontal="center" vertical="center" wrapText="1"/>
    </xf>
  </cellStyleXfs>
  <cellXfs count="233">
    <xf numFmtId="0" fontId="0" fillId="0" borderId="0" xfId="0"/>
    <xf numFmtId="0" fontId="5" fillId="2" borderId="0" xfId="3" applyFont="1" applyFill="1" applyAlignment="1">
      <alignment horizontal="center"/>
    </xf>
    <xf numFmtId="0" fontId="4" fillId="2" borderId="0" xfId="3" applyFont="1" applyFill="1" applyAlignment="1">
      <alignment horizontal="left"/>
    </xf>
    <xf numFmtId="0" fontId="4" fillId="2" borderId="0" xfId="3" applyFont="1" applyFill="1" applyAlignment="1">
      <alignment horizontal="right"/>
    </xf>
    <xf numFmtId="0" fontId="4" fillId="0" borderId="0" xfId="3" applyFont="1" applyFill="1" applyAlignment="1">
      <alignment horizontal="center"/>
    </xf>
    <xf numFmtId="0" fontId="4" fillId="0" borderId="0" xfId="3" applyFont="1" applyFill="1"/>
    <xf numFmtId="43" fontId="0" fillId="0" borderId="0" xfId="6" applyFont="1"/>
    <xf numFmtId="0" fontId="10"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5" fillId="2" borderId="1" xfId="3" applyNumberFormat="1" applyFont="1" applyFill="1" applyBorder="1" applyAlignment="1">
      <alignment horizontal="center" vertical="center"/>
    </xf>
    <xf numFmtId="43" fontId="0" fillId="0" borderId="0" xfId="6" applyFont="1"/>
    <xf numFmtId="0" fontId="0" fillId="0" borderId="0" xfId="0"/>
    <xf numFmtId="0" fontId="4" fillId="2" borderId="0" xfId="3" applyFont="1" applyFill="1"/>
    <xf numFmtId="0" fontId="0" fillId="0" borderId="0" xfId="0" applyFill="1"/>
    <xf numFmtId="0" fontId="10" fillId="0" borderId="3" xfId="0" applyFont="1" applyFill="1" applyBorder="1" applyAlignment="1">
      <alignment horizontal="left" vertical="top"/>
    </xf>
    <xf numFmtId="0" fontId="29"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5" fillId="2" borderId="0" xfId="3" applyFont="1" applyFill="1" applyAlignment="1">
      <alignment horizontal="center" wrapText="1"/>
    </xf>
    <xf numFmtId="0" fontId="8" fillId="0" borderId="0" xfId="3" applyFont="1" applyAlignment="1">
      <alignment horizontal="center" wrapText="1"/>
    </xf>
    <xf numFmtId="0" fontId="4" fillId="2" borderId="0" xfId="3" applyFont="1" applyFill="1" applyAlignment="1">
      <alignment horizontal="center"/>
    </xf>
    <xf numFmtId="165" fontId="6" fillId="2" borderId="0" xfId="4" applyNumberFormat="1" applyFont="1" applyFill="1"/>
    <xf numFmtId="167" fontId="6" fillId="2" borderId="0" xfId="3" applyNumberFormat="1" applyFont="1" applyFill="1"/>
    <xf numFmtId="0" fontId="0" fillId="0" borderId="0" xfId="0"/>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172" fontId="12" fillId="106" borderId="3" xfId="0" applyNumberFormat="1" applyFont="1" applyFill="1" applyBorder="1" applyAlignment="1">
      <alignment horizontal="right" vertical="center"/>
    </xf>
    <xf numFmtId="172" fontId="12" fillId="106" borderId="3" xfId="7" applyNumberFormat="1" applyFont="1" applyFill="1" applyBorder="1" applyAlignment="1">
      <alignment horizontal="right" vertical="center"/>
    </xf>
    <xf numFmtId="171" fontId="12" fillId="106" borderId="3" xfId="0" applyNumberFormat="1" applyFont="1" applyFill="1" applyBorder="1" applyAlignment="1">
      <alignment horizontal="right" vertical="center"/>
    </xf>
    <xf numFmtId="170" fontId="12" fillId="106" borderId="3" xfId="0" applyNumberFormat="1" applyFont="1" applyFill="1" applyBorder="1" applyAlignment="1">
      <alignment horizontal="right" vertical="center"/>
    </xf>
    <xf numFmtId="172" fontId="12" fillId="107" borderId="3" xfId="0" applyNumberFormat="1" applyFont="1" applyFill="1" applyBorder="1" applyAlignment="1">
      <alignment horizontal="right" vertical="center"/>
    </xf>
    <xf numFmtId="171" fontId="12" fillId="107" borderId="3" xfId="0" applyNumberFormat="1" applyFont="1" applyFill="1" applyBorder="1" applyAlignment="1">
      <alignment horizontal="right" vertical="center"/>
    </xf>
    <xf numFmtId="170" fontId="12" fillId="107" borderId="3" xfId="0" applyNumberFormat="1" applyFont="1" applyFill="1" applyBorder="1" applyAlignment="1">
      <alignment horizontal="right" vertical="center"/>
    </xf>
    <xf numFmtId="0" fontId="10" fillId="108" borderId="3" xfId="0" applyFont="1" applyFill="1" applyBorder="1" applyAlignment="1">
      <alignment horizontal="center" wrapText="1"/>
    </xf>
    <xf numFmtId="0" fontId="11" fillId="108" borderId="3" xfId="0" applyFont="1" applyFill="1" applyBorder="1" applyAlignment="1">
      <alignment horizontal="center"/>
    </xf>
    <xf numFmtId="0" fontId="10" fillId="108" borderId="3" xfId="0" applyFont="1" applyFill="1" applyBorder="1" applyAlignment="1">
      <alignment horizontal="center"/>
    </xf>
    <xf numFmtId="172" fontId="12" fillId="107" borderId="3" xfId="7" applyNumberFormat="1" applyFont="1" applyFill="1" applyBorder="1" applyAlignment="1">
      <alignment horizontal="right" vertical="center"/>
    </xf>
    <xf numFmtId="0" fontId="0" fillId="0" borderId="0" xfId="0" applyAlignment="1">
      <alignment horizontal="center" wrapText="1"/>
    </xf>
    <xf numFmtId="0" fontId="4" fillId="2" borderId="0" xfId="3" applyFont="1" applyFill="1" applyAlignment="1">
      <alignment horizontal="center" vertical="center" wrapText="1"/>
    </xf>
    <xf numFmtId="0" fontId="5" fillId="2" borderId="51" xfId="3" applyFont="1" applyFill="1" applyBorder="1" applyAlignment="1">
      <alignment horizontal="center" vertical="center"/>
    </xf>
    <xf numFmtId="0" fontId="4" fillId="2" borderId="0" xfId="0" applyFont="1" applyFill="1" applyAlignment="1">
      <alignment horizontal="center"/>
    </xf>
    <xf numFmtId="0" fontId="5" fillId="2" borderId="51" xfId="3" applyFont="1" applyFill="1" applyBorder="1" applyAlignment="1">
      <alignment horizontal="center" vertical="center" wrapText="1"/>
    </xf>
    <xf numFmtId="0" fontId="5" fillId="2" borderId="51" xfId="3" applyFont="1" applyFill="1" applyBorder="1" applyAlignment="1">
      <alignment vertical="center"/>
    </xf>
    <xf numFmtId="164" fontId="5" fillId="2" borderId="51" xfId="3" applyNumberFormat="1" applyFont="1" applyFill="1" applyBorder="1" applyAlignment="1">
      <alignment horizontal="center" vertical="center"/>
    </xf>
    <xf numFmtId="166" fontId="6" fillId="0" borderId="0" xfId="3" applyNumberFormat="1" applyFont="1" applyFill="1" applyAlignment="1">
      <alignment vertical="center" wrapText="1"/>
    </xf>
    <xf numFmtId="167" fontId="6" fillId="0" borderId="0" xfId="3" applyNumberFormat="1" applyFont="1" applyFill="1"/>
    <xf numFmtId="0" fontId="5" fillId="0" borderId="0" xfId="3" applyFont="1" applyFill="1" applyAlignment="1">
      <alignment horizontal="center" wrapText="1"/>
    </xf>
    <xf numFmtId="164" fontId="5" fillId="0" borderId="1" xfId="3" applyNumberFormat="1" applyFont="1" applyFill="1" applyBorder="1" applyAlignment="1">
      <alignment horizontal="center" vertical="center"/>
    </xf>
    <xf numFmtId="165" fontId="6" fillId="0" borderId="0" xfId="4" applyNumberFormat="1" applyFont="1" applyFill="1"/>
    <xf numFmtId="165" fontId="4" fillId="0" borderId="0" xfId="4" applyNumberFormat="1" applyFont="1" applyFill="1"/>
    <xf numFmtId="167" fontId="4" fillId="0" borderId="0" xfId="3" applyNumberFormat="1" applyFont="1" applyFill="1"/>
    <xf numFmtId="0" fontId="6" fillId="0" borderId="0" xfId="3" applyFont="1" applyFill="1"/>
    <xf numFmtId="166" fontId="4" fillId="0" borderId="0" xfId="1" applyNumberFormat="1" applyFont="1" applyFill="1"/>
    <xf numFmtId="0" fontId="4"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166" fontId="4" fillId="2" borderId="0" xfId="3" applyNumberFormat="1" applyFont="1" applyFill="1" applyAlignment="1">
      <alignment vertical="center"/>
    </xf>
    <xf numFmtId="0" fontId="4" fillId="2" borderId="0" xfId="3" applyFont="1" applyFill="1" applyAlignment="1">
      <alignment vertical="center" wrapText="1"/>
    </xf>
    <xf numFmtId="0" fontId="4" fillId="2" borderId="0" xfId="0" applyFont="1" applyFill="1" applyAlignment="1">
      <alignment horizontal="right"/>
    </xf>
    <xf numFmtId="164" fontId="5" fillId="2" borderId="51" xfId="3" applyNumberFormat="1" applyFont="1" applyFill="1" applyBorder="1" applyAlignment="1">
      <alignment horizontal="right" vertical="center"/>
    </xf>
    <xf numFmtId="0" fontId="171" fillId="2" borderId="0" xfId="3" applyFont="1" applyFill="1" applyAlignment="1">
      <alignment horizontal="center"/>
    </xf>
    <xf numFmtId="165" fontId="170" fillId="0" borderId="0" xfId="4" applyNumberFormat="1" applyFont="1" applyFill="1" applyAlignment="1">
      <alignment horizontal="right"/>
    </xf>
    <xf numFmtId="165" fontId="6" fillId="2" borderId="0" xfId="4" applyNumberFormat="1" applyFont="1" applyFill="1" applyAlignment="1">
      <alignment horizontal="right"/>
    </xf>
    <xf numFmtId="0" fontId="4" fillId="2" borderId="0" xfId="3" applyFont="1" applyFill="1" applyAlignment="1">
      <alignment horizontal="center" vertical="center"/>
    </xf>
    <xf numFmtId="166" fontId="6" fillId="2" borderId="0" xfId="3" applyNumberFormat="1" applyFont="1" applyFill="1" applyAlignment="1">
      <alignment horizontal="right" vertical="center" wrapText="1"/>
    </xf>
    <xf numFmtId="44" fontId="6" fillId="2" borderId="0" xfId="3" applyNumberFormat="1" applyFont="1" applyFill="1" applyAlignment="1">
      <alignment horizontal="right" vertical="center" wrapText="1"/>
    </xf>
    <xf numFmtId="167" fontId="6" fillId="2" borderId="0" xfId="3" applyNumberFormat="1" applyFont="1" applyFill="1" applyAlignment="1">
      <alignment horizontal="right"/>
    </xf>
    <xf numFmtId="0" fontId="6" fillId="2" borderId="0" xfId="3" applyFont="1" applyFill="1" applyAlignment="1">
      <alignment horizontal="right"/>
    </xf>
    <xf numFmtId="168" fontId="6" fillId="2" borderId="0" xfId="5"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xf numFmtId="0" fontId="4" fillId="106" borderId="0" xfId="3" applyFont="1" applyFill="1" applyAlignment="1">
      <alignment horizontal="center"/>
    </xf>
    <xf numFmtId="0" fontId="4" fillId="106" borderId="0" xfId="3" applyFont="1" applyFill="1"/>
    <xf numFmtId="167" fontId="6" fillId="106" borderId="0" xfId="3" applyNumberFormat="1" applyFont="1" applyFill="1" applyAlignment="1">
      <alignment horizontal="right"/>
    </xf>
    <xf numFmtId="0" fontId="4" fillId="106" borderId="0" xfId="3" applyFont="1" applyFill="1" applyAlignment="1">
      <alignment horizontal="center" vertical="center" wrapText="1"/>
    </xf>
    <xf numFmtId="169" fontId="4" fillId="106" borderId="0" xfId="6" applyNumberFormat="1" applyFont="1" applyFill="1"/>
    <xf numFmtId="10" fontId="6" fillId="2" borderId="0" xfId="2" applyNumberFormat="1" applyFont="1" applyFill="1" applyAlignment="1">
      <alignment horizontal="right"/>
    </xf>
    <xf numFmtId="167" fontId="6" fillId="106" borderId="0" xfId="5" applyNumberFormat="1" applyFont="1" applyFill="1" applyAlignment="1">
      <alignment horizontal="right"/>
    </xf>
    <xf numFmtId="0" fontId="4" fillId="109" borderId="0" xfId="3" applyFont="1" applyFill="1" applyAlignment="1">
      <alignment horizontal="center"/>
    </xf>
    <xf numFmtId="0" fontId="5" fillId="109" borderId="0" xfId="3" applyFont="1" applyFill="1"/>
    <xf numFmtId="0" fontId="5" fillId="109" borderId="0" xfId="3" applyFont="1" applyFill="1" applyAlignment="1">
      <alignment horizontal="center"/>
    </xf>
    <xf numFmtId="167" fontId="7" fillId="109" borderId="2" xfId="5" applyNumberFormat="1" applyFont="1" applyFill="1" applyBorder="1" applyAlignment="1">
      <alignment horizontal="right"/>
    </xf>
    <xf numFmtId="167" fontId="6" fillId="2" borderId="0" xfId="3" applyNumberFormat="1" applyFont="1" applyFill="1" applyBorder="1" applyAlignment="1">
      <alignment horizontal="right"/>
    </xf>
    <xf numFmtId="165" fontId="170" fillId="2" borderId="0" xfId="4" applyNumberFormat="1" applyFont="1" applyFill="1" applyAlignment="1">
      <alignment horizontal="right"/>
    </xf>
    <xf numFmtId="167" fontId="170" fillId="2" borderId="0" xfId="3" applyNumberFormat="1" applyFont="1" applyFill="1" applyAlignment="1">
      <alignment horizontal="right"/>
    </xf>
    <xf numFmtId="166" fontId="4" fillId="2" borderId="0" xfId="3" applyNumberFormat="1" applyFont="1" applyFill="1" applyAlignment="1">
      <alignment horizontal="right"/>
    </xf>
    <xf numFmtId="0" fontId="4" fillId="2" borderId="0" xfId="3" applyFont="1" applyFill="1" applyAlignment="1">
      <alignment wrapText="1"/>
    </xf>
    <xf numFmtId="167" fontId="6" fillId="2" borderId="0" xfId="3" applyNumberFormat="1" applyFont="1" applyFill="1" applyAlignment="1">
      <alignment horizontal="right" vertical="center"/>
    </xf>
    <xf numFmtId="0" fontId="4" fillId="2" borderId="0" xfId="3" applyFont="1" applyFill="1" applyAlignment="1">
      <alignment vertical="center"/>
    </xf>
    <xf numFmtId="167" fontId="4" fillId="2" borderId="0" xfId="3" applyNumberFormat="1" applyFont="1" applyFill="1" applyAlignment="1">
      <alignment horizontal="right" vertical="center"/>
    </xf>
    <xf numFmtId="165" fontId="172" fillId="0" borderId="0" xfId="4" applyNumberFormat="1" applyFont="1" applyFill="1" applyAlignment="1">
      <alignment horizontal="right"/>
    </xf>
    <xf numFmtId="165" fontId="6" fillId="0" borderId="0" xfId="4" applyNumberFormat="1" applyFont="1" applyFill="1" applyAlignment="1">
      <alignment horizontal="right"/>
    </xf>
    <xf numFmtId="167" fontId="172" fillId="0" borderId="0" xfId="3" applyNumberFormat="1" applyFont="1" applyFill="1" applyAlignment="1">
      <alignment horizontal="right"/>
    </xf>
    <xf numFmtId="167" fontId="6" fillId="0" borderId="0" xfId="3" applyNumberFormat="1" applyFont="1" applyFill="1" applyAlignment="1">
      <alignment horizontal="right"/>
    </xf>
    <xf numFmtId="165" fontId="172" fillId="2" borderId="0" xfId="4" applyNumberFormat="1" applyFont="1" applyFill="1" applyAlignment="1">
      <alignment horizontal="right"/>
    </xf>
    <xf numFmtId="167" fontId="172" fillId="2" borderId="0" xfId="3" applyNumberFormat="1" applyFont="1" applyFill="1" applyAlignment="1">
      <alignment horizontal="right"/>
    </xf>
    <xf numFmtId="168" fontId="6" fillId="0" borderId="0" xfId="5" applyNumberFormat="1" applyFont="1" applyFill="1" applyAlignment="1">
      <alignment horizontal="right"/>
    </xf>
    <xf numFmtId="167" fontId="0" fillId="0" borderId="0" xfId="0" applyNumberFormat="1"/>
    <xf numFmtId="0" fontId="0" fillId="0" borderId="0" xfId="0" applyFill="1" applyAlignment="1">
      <alignment vertical="top" wrapText="1"/>
    </xf>
    <xf numFmtId="0" fontId="0" fillId="0" borderId="0" xfId="0" applyAlignment="1">
      <alignment shrinkToFit="1"/>
    </xf>
    <xf numFmtId="166" fontId="0" fillId="0" borderId="0" xfId="0" applyNumberFormat="1"/>
    <xf numFmtId="0" fontId="173" fillId="0" borderId="0" xfId="0" applyFont="1" applyAlignment="1">
      <alignment horizontal="right"/>
    </xf>
    <xf numFmtId="0" fontId="10" fillId="108" borderId="3" xfId="0" applyFont="1" applyFill="1" applyBorder="1" applyAlignment="1">
      <alignment horizontal="left" vertical="center" wrapText="1"/>
    </xf>
    <xf numFmtId="0" fontId="11" fillId="108" borderId="3" xfId="0" applyFont="1" applyFill="1" applyBorder="1" applyAlignment="1">
      <alignment horizontal="left" vertical="top"/>
    </xf>
    <xf numFmtId="0" fontId="10" fillId="108" borderId="3" xfId="0" applyFont="1" applyFill="1" applyBorder="1" applyAlignment="1">
      <alignment horizontal="left" vertical="top"/>
    </xf>
    <xf numFmtId="0" fontId="10" fillId="108" borderId="3" xfId="0" applyFont="1" applyFill="1" applyBorder="1" applyAlignment="1">
      <alignment horizontal="center" vertical="center" wrapText="1"/>
    </xf>
    <xf numFmtId="0" fontId="10" fillId="108" borderId="3" xfId="0" applyFont="1" applyFill="1" applyBorder="1" applyAlignment="1">
      <alignment horizontal="right" vertical="center" wrapText="1"/>
    </xf>
    <xf numFmtId="4" fontId="0" fillId="0" borderId="0" xfId="0" applyNumberFormat="1"/>
    <xf numFmtId="202" fontId="169" fillId="0" borderId="0" xfId="0" applyNumberFormat="1" applyFont="1" applyFill="1" applyAlignment="1">
      <alignment vertical="top"/>
    </xf>
    <xf numFmtId="202" fontId="0" fillId="0" borderId="0" xfId="0" applyNumberFormat="1" applyFill="1" applyAlignment="1">
      <alignment vertical="top"/>
    </xf>
    <xf numFmtId="165" fontId="6" fillId="0" borderId="0" xfId="6" applyNumberFormat="1" applyFont="1" applyFill="1"/>
    <xf numFmtId="165" fontId="4" fillId="0" borderId="0" xfId="6" applyNumberFormat="1" applyFont="1" applyFill="1"/>
    <xf numFmtId="165" fontId="6" fillId="2" borderId="0" xfId="6" applyNumberFormat="1" applyFont="1" applyFill="1"/>
    <xf numFmtId="167" fontId="6" fillId="0" borderId="0" xfId="1" applyNumberFormat="1" applyFont="1" applyFill="1"/>
    <xf numFmtId="167" fontId="6" fillId="2" borderId="0" xfId="1" applyNumberFormat="1" applyFont="1" applyFill="1"/>
    <xf numFmtId="7" fontId="0" fillId="0" borderId="0" xfId="0" applyNumberFormat="1"/>
    <xf numFmtId="0" fontId="11" fillId="106" borderId="3" xfId="0" applyFont="1" applyFill="1" applyBorder="1" applyAlignment="1">
      <alignment horizontal="left" vertical="top"/>
    </xf>
    <xf numFmtId="165" fontId="169" fillId="0" borderId="0" xfId="6" applyNumberFormat="1" applyFont="1" applyFill="1" applyAlignment="1">
      <alignment vertical="top"/>
    </xf>
    <xf numFmtId="166" fontId="169" fillId="0" borderId="0" xfId="0" applyNumberFormat="1" applyFont="1" applyFill="1" applyAlignment="1">
      <alignment vertical="top"/>
    </xf>
    <xf numFmtId="166" fontId="27" fillId="0" borderId="0" xfId="0" applyNumberFormat="1" applyFont="1" applyFill="1" applyAlignment="1">
      <alignment vertical="top"/>
    </xf>
    <xf numFmtId="0" fontId="27" fillId="0" borderId="0" xfId="0" applyFont="1" applyFill="1" applyAlignment="1">
      <alignment horizontal="left" wrapText="1"/>
    </xf>
    <xf numFmtId="0" fontId="27" fillId="0" borderId="0" xfId="0" applyFont="1" applyFill="1"/>
    <xf numFmtId="172" fontId="12" fillId="107" borderId="57" xfId="0" applyNumberFormat="1" applyFont="1" applyFill="1" applyBorder="1" applyAlignment="1">
      <alignment horizontal="right" vertical="center"/>
    </xf>
    <xf numFmtId="172" fontId="12" fillId="107" borderId="57" xfId="7" applyNumberFormat="1" applyFont="1" applyFill="1" applyBorder="1" applyAlignment="1">
      <alignment horizontal="right" vertical="center"/>
    </xf>
    <xf numFmtId="171" fontId="12" fillId="107" borderId="57" xfId="0" applyNumberFormat="1" applyFont="1" applyFill="1" applyBorder="1" applyAlignment="1">
      <alignment horizontal="right" vertical="center"/>
    </xf>
    <xf numFmtId="170" fontId="12" fillId="107" borderId="57" xfId="0" applyNumberFormat="1" applyFont="1" applyFill="1" applyBorder="1" applyAlignment="1">
      <alignment horizontal="right" vertical="center"/>
    </xf>
    <xf numFmtId="168" fontId="4" fillId="0" borderId="0" xfId="1" applyNumberFormat="1" applyFont="1"/>
    <xf numFmtId="0" fontId="6" fillId="0" borderId="0" xfId="14" applyFont="1"/>
    <xf numFmtId="164" fontId="5" fillId="0" borderId="51" xfId="3" applyNumberFormat="1" applyFont="1" applyFill="1" applyBorder="1" applyAlignment="1">
      <alignment horizontal="center" vertical="center"/>
    </xf>
    <xf numFmtId="0" fontId="174" fillId="2" borderId="0" xfId="3" applyFont="1" applyFill="1" applyAlignment="1">
      <alignment horizontal="right"/>
    </xf>
    <xf numFmtId="0" fontId="174" fillId="2" borderId="0" xfId="0" applyFont="1" applyFill="1" applyAlignment="1">
      <alignment horizontal="left"/>
    </xf>
    <xf numFmtId="0" fontId="14" fillId="0" borderId="0" xfId="7" applyFont="1" applyFill="1" applyAlignment="1">
      <alignment horizontal="center"/>
    </xf>
    <xf numFmtId="14" fontId="5" fillId="0" borderId="1" xfId="3" applyNumberFormat="1" applyFont="1" applyFill="1" applyBorder="1" applyAlignment="1">
      <alignment horizontal="center" vertical="center"/>
    </xf>
    <xf numFmtId="0" fontId="0" fillId="0" borderId="0" xfId="0" applyFill="1" applyAlignment="1">
      <alignment horizontal="right"/>
    </xf>
    <xf numFmtId="0" fontId="174" fillId="2" borderId="0" xfId="0" applyFont="1" applyFill="1" applyAlignment="1">
      <alignment horizontal="right"/>
    </xf>
    <xf numFmtId="0" fontId="10" fillId="108" borderId="57" xfId="0" applyFont="1" applyFill="1" applyBorder="1" applyAlignment="1">
      <alignment horizontal="center"/>
    </xf>
    <xf numFmtId="0" fontId="10" fillId="0" borderId="4" xfId="0" applyFont="1" applyBorder="1" applyAlignment="1">
      <alignment horizontal="left" vertical="top" wrapText="1"/>
    </xf>
    <xf numFmtId="0" fontId="11" fillId="0" borderId="3" xfId="0" applyFont="1" applyBorder="1" applyAlignment="1">
      <alignment horizontal="left" vertical="top"/>
    </xf>
    <xf numFmtId="0" fontId="10" fillId="0" borderId="53" xfId="0" applyFont="1" applyBorder="1" applyAlignment="1">
      <alignment horizontal="left" vertical="top"/>
    </xf>
    <xf numFmtId="0" fontId="10" fillId="0" borderId="3" xfId="0" applyFont="1" applyBorder="1" applyAlignment="1">
      <alignment horizontal="left" vertical="center"/>
    </xf>
    <xf numFmtId="171" fontId="10" fillId="0" borderId="3" xfId="0" applyNumberFormat="1" applyFont="1" applyBorder="1" applyAlignment="1">
      <alignment horizontal="right" vertical="center"/>
    </xf>
    <xf numFmtId="170" fontId="10" fillId="0" borderId="3" xfId="0" applyNumberFormat="1" applyFont="1" applyBorder="1" applyAlignment="1">
      <alignment horizontal="right" vertical="center"/>
    </xf>
    <xf numFmtId="0" fontId="10" fillId="0" borderId="5" xfId="0" applyFont="1" applyBorder="1" applyAlignment="1">
      <alignment horizontal="left" vertical="top" wrapText="1"/>
    </xf>
    <xf numFmtId="0" fontId="10" fillId="0" borderId="54" xfId="0" applyFont="1" applyBorder="1" applyAlignment="1">
      <alignment horizontal="left" vertical="top"/>
    </xf>
    <xf numFmtId="0" fontId="10" fillId="0" borderId="55" xfId="0" applyFont="1" applyBorder="1" applyAlignment="1">
      <alignment horizontal="left" vertical="top"/>
    </xf>
    <xf numFmtId="172" fontId="12" fillId="106" borderId="0" xfId="7" applyNumberFormat="1" applyFont="1" applyFill="1" applyAlignment="1">
      <alignment horizontal="right" vertical="center"/>
    </xf>
    <xf numFmtId="0" fontId="10" fillId="0" borderId="50" xfId="0" applyFont="1" applyBorder="1" applyAlignment="1">
      <alignment horizontal="left" vertical="top" wrapText="1"/>
    </xf>
    <xf numFmtId="172" fontId="12" fillId="106" borderId="56" xfId="7" applyNumberFormat="1" applyFont="1" applyFill="1" applyBorder="1" applyAlignment="1">
      <alignment horizontal="right" vertical="center"/>
    </xf>
    <xf numFmtId="0" fontId="12" fillId="107" borderId="3" xfId="7" applyFont="1" applyFill="1" applyBorder="1" applyAlignment="1">
      <alignment horizontal="right" vertical="center"/>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50" xfId="0" applyFont="1" applyBorder="1" applyAlignment="1">
      <alignment horizontal="left" vertical="top"/>
    </xf>
    <xf numFmtId="172" fontId="12" fillId="0" borderId="0" xfId="7" applyNumberFormat="1" applyFont="1" applyAlignment="1">
      <alignment horizontal="right" vertical="center"/>
    </xf>
    <xf numFmtId="171" fontId="12" fillId="0" borderId="0" xfId="7" applyNumberFormat="1" applyFont="1" applyAlignment="1">
      <alignment horizontal="right" vertical="center"/>
    </xf>
    <xf numFmtId="170" fontId="12" fillId="0" borderId="0" xfId="7" applyNumberFormat="1" applyFont="1" applyAlignment="1">
      <alignment horizontal="right" vertical="center"/>
    </xf>
    <xf numFmtId="0" fontId="10" fillId="0" borderId="3" xfId="0" applyFont="1" applyBorder="1" applyAlignment="1">
      <alignment horizontal="left" vertical="top"/>
    </xf>
    <xf numFmtId="172" fontId="12" fillId="0" borderId="0" xfId="7" applyNumberFormat="1" applyFont="1" applyAlignment="1">
      <alignment horizontal="left" vertical="center"/>
    </xf>
    <xf numFmtId="172" fontId="12" fillId="0" borderId="0" xfId="7" applyNumberFormat="1" applyFont="1" applyAlignment="1">
      <alignment vertical="center"/>
    </xf>
    <xf numFmtId="0" fontId="14" fillId="0" borderId="0" xfId="7" applyFont="1"/>
    <xf numFmtId="172" fontId="12" fillId="0" borderId="0" xfId="0" applyNumberFormat="1" applyFont="1" applyAlignment="1">
      <alignment horizontal="right" vertical="center"/>
    </xf>
    <xf numFmtId="0" fontId="12" fillId="0" borderId="0" xfId="7" applyFont="1" applyAlignment="1">
      <alignment horizontal="right" vertical="center"/>
    </xf>
    <xf numFmtId="171" fontId="12" fillId="0" borderId="0" xfId="0" applyNumberFormat="1" applyFont="1" applyAlignment="1">
      <alignment horizontal="right" vertical="center"/>
    </xf>
    <xf numFmtId="170" fontId="12" fillId="0" borderId="0" xfId="0" applyNumberFormat="1" applyFont="1" applyAlignment="1">
      <alignment horizontal="right" vertical="center"/>
    </xf>
    <xf numFmtId="0" fontId="10" fillId="0" borderId="0" xfId="0" applyFont="1" applyAlignment="1">
      <alignment horizontal="left" vertical="top" wrapText="1"/>
    </xf>
    <xf numFmtId="0" fontId="29" fillId="0" borderId="0" xfId="0" applyFont="1"/>
    <xf numFmtId="0" fontId="11" fillId="0" borderId="56" xfId="0" applyFont="1" applyBorder="1" applyAlignment="1">
      <alignment horizontal="left" vertical="top"/>
    </xf>
    <xf numFmtId="0" fontId="10" fillId="0" borderId="56" xfId="0" applyFont="1" applyBorder="1" applyAlignment="1">
      <alignment horizontal="left" vertical="center"/>
    </xf>
    <xf numFmtId="171" fontId="10" fillId="0" borderId="56" xfId="0" applyNumberFormat="1" applyFont="1" applyBorder="1" applyAlignment="1">
      <alignment horizontal="right" vertical="center"/>
    </xf>
    <xf numFmtId="170" fontId="10" fillId="0" borderId="56" xfId="0" applyNumberFormat="1" applyFont="1" applyBorder="1" applyAlignment="1">
      <alignment horizontal="right" vertical="center"/>
    </xf>
    <xf numFmtId="0" fontId="0" fillId="0" borderId="0" xfId="0" applyFill="1" applyAlignment="1">
      <alignment wrapText="1"/>
    </xf>
    <xf numFmtId="0" fontId="0" fillId="0" borderId="56" xfId="0" applyFill="1" applyBorder="1" applyAlignment="1">
      <alignment wrapText="1"/>
    </xf>
    <xf numFmtId="164" fontId="5" fillId="2" borderId="59" xfId="3" applyNumberFormat="1" applyFont="1" applyFill="1" applyBorder="1" applyAlignment="1">
      <alignment horizontal="right" vertical="center"/>
    </xf>
    <xf numFmtId="0" fontId="4" fillId="2" borderId="58" xfId="3" applyFont="1" applyFill="1" applyBorder="1" applyAlignment="1">
      <alignment horizontal="right"/>
    </xf>
    <xf numFmtId="165" fontId="170" fillId="0" borderId="60" xfId="4" applyNumberFormat="1" applyFont="1" applyFill="1" applyBorder="1" applyAlignment="1">
      <alignment horizontal="right"/>
    </xf>
    <xf numFmtId="167" fontId="170" fillId="0" borderId="0" xfId="3" applyNumberFormat="1" applyFont="1" applyAlignment="1">
      <alignment horizontal="right"/>
    </xf>
    <xf numFmtId="167" fontId="170" fillId="0" borderId="60" xfId="3" applyNumberFormat="1" applyFont="1" applyBorder="1" applyAlignment="1">
      <alignment horizontal="right"/>
    </xf>
    <xf numFmtId="165" fontId="6" fillId="2" borderId="60" xfId="4" applyNumberFormat="1" applyFont="1" applyFill="1" applyBorder="1" applyAlignment="1">
      <alignment horizontal="right"/>
    </xf>
    <xf numFmtId="166" fontId="6" fillId="2" borderId="60" xfId="3" applyNumberFormat="1" applyFont="1" applyFill="1" applyBorder="1" applyAlignment="1">
      <alignment horizontal="right" vertical="center" wrapText="1"/>
    </xf>
    <xf numFmtId="167" fontId="6" fillId="2" borderId="60" xfId="3" applyNumberFormat="1" applyFont="1" applyFill="1" applyBorder="1" applyAlignment="1">
      <alignment horizontal="right"/>
    </xf>
    <xf numFmtId="167" fontId="176" fillId="2" borderId="0" xfId="3" applyNumberFormat="1" applyFont="1" applyFill="1" applyAlignment="1">
      <alignment horizontal="right"/>
    </xf>
    <xf numFmtId="167" fontId="177" fillId="2" borderId="0" xfId="3" applyNumberFormat="1" applyFont="1" applyFill="1" applyAlignment="1">
      <alignment horizontal="right"/>
    </xf>
    <xf numFmtId="0" fontId="6" fillId="2" borderId="60" xfId="3" applyFont="1" applyFill="1" applyBorder="1" applyAlignment="1">
      <alignment horizontal="right"/>
    </xf>
    <xf numFmtId="168" fontId="178" fillId="2" borderId="0" xfId="5" applyNumberFormat="1" applyFont="1" applyFill="1" applyAlignment="1">
      <alignment horizontal="right"/>
    </xf>
    <xf numFmtId="168" fontId="6" fillId="2" borderId="60" xfId="5" applyNumberFormat="1" applyFont="1" applyFill="1" applyBorder="1" applyAlignment="1">
      <alignment horizontal="right"/>
    </xf>
    <xf numFmtId="166" fontId="4" fillId="2" borderId="60" xfId="1" applyNumberFormat="1" applyFont="1" applyFill="1" applyBorder="1" applyAlignment="1">
      <alignment horizontal="right"/>
    </xf>
    <xf numFmtId="167" fontId="6" fillId="106" borderId="60" xfId="3" applyNumberFormat="1" applyFont="1" applyFill="1" applyBorder="1" applyAlignment="1">
      <alignment horizontal="right"/>
    </xf>
    <xf numFmtId="10" fontId="172" fillId="2" borderId="0" xfId="2" applyNumberFormat="1" applyFont="1" applyFill="1" applyAlignment="1">
      <alignment horizontal="right"/>
    </xf>
    <xf numFmtId="10" fontId="6" fillId="2" borderId="60" xfId="2" applyNumberFormat="1" applyFont="1" applyFill="1" applyBorder="1" applyAlignment="1">
      <alignment horizontal="right"/>
    </xf>
    <xf numFmtId="167" fontId="179" fillId="106" borderId="0" xfId="5" applyNumberFormat="1" applyFont="1" applyFill="1" applyAlignment="1">
      <alignment horizontal="right"/>
    </xf>
    <xf numFmtId="167" fontId="6" fillId="106" borderId="60" xfId="5" applyNumberFormat="1" applyFont="1" applyFill="1" applyBorder="1" applyAlignment="1">
      <alignment horizontal="right"/>
    </xf>
    <xf numFmtId="167" fontId="7" fillId="109" borderId="61" xfId="5" applyNumberFormat="1" applyFont="1" applyFill="1" applyBorder="1" applyAlignment="1">
      <alignment horizontal="right"/>
    </xf>
    <xf numFmtId="167" fontId="179" fillId="2" borderId="0" xfId="3" applyNumberFormat="1" applyFont="1" applyFill="1" applyAlignment="1">
      <alignment horizontal="right"/>
    </xf>
    <xf numFmtId="165" fontId="170" fillId="2" borderId="60" xfId="4" applyNumberFormat="1" applyFont="1" applyFill="1" applyBorder="1" applyAlignment="1">
      <alignment horizontal="right"/>
    </xf>
    <xf numFmtId="167" fontId="170" fillId="2" borderId="60" xfId="3" applyNumberFormat="1" applyFont="1" applyFill="1" applyBorder="1" applyAlignment="1">
      <alignment horizontal="right"/>
    </xf>
    <xf numFmtId="166" fontId="4" fillId="2" borderId="60" xfId="3" applyNumberFormat="1" applyFont="1" applyFill="1" applyBorder="1" applyAlignment="1">
      <alignment horizontal="right"/>
    </xf>
    <xf numFmtId="167" fontId="179" fillId="2" borderId="0" xfId="3" applyNumberFormat="1" applyFont="1" applyFill="1" applyAlignment="1">
      <alignment horizontal="right" vertical="center"/>
    </xf>
    <xf numFmtId="167" fontId="6" fillId="2" borderId="60" xfId="3" applyNumberFormat="1" applyFont="1" applyFill="1" applyBorder="1" applyAlignment="1">
      <alignment horizontal="right" vertical="center"/>
    </xf>
    <xf numFmtId="167" fontId="4" fillId="2" borderId="60" xfId="3" applyNumberFormat="1" applyFont="1" applyFill="1" applyBorder="1" applyAlignment="1">
      <alignment horizontal="right" vertical="center"/>
    </xf>
    <xf numFmtId="0" fontId="5" fillId="2" borderId="0" xfId="3" applyFont="1" applyFill="1"/>
    <xf numFmtId="0" fontId="182" fillId="0" borderId="0" xfId="0" applyFont="1"/>
    <xf numFmtId="0" fontId="4" fillId="2" borderId="60" xfId="3" applyFont="1" applyFill="1" applyBorder="1" applyAlignment="1">
      <alignment horizontal="right"/>
    </xf>
    <xf numFmtId="165" fontId="172" fillId="0" borderId="60" xfId="4" applyNumberFormat="1" applyFont="1" applyFill="1" applyBorder="1" applyAlignment="1">
      <alignment horizontal="right"/>
    </xf>
    <xf numFmtId="167" fontId="172" fillId="0" borderId="0" xfId="3" applyNumberFormat="1" applyFont="1" applyAlignment="1">
      <alignment horizontal="right"/>
    </xf>
    <xf numFmtId="167" fontId="172" fillId="0" borderId="60" xfId="3" applyNumberFormat="1" applyFont="1" applyBorder="1" applyAlignment="1">
      <alignment horizontal="right"/>
    </xf>
    <xf numFmtId="167" fontId="183" fillId="106" borderId="0" xfId="5" applyNumberFormat="1" applyFont="1" applyFill="1" applyAlignment="1">
      <alignment horizontal="right"/>
    </xf>
    <xf numFmtId="167" fontId="183" fillId="2" borderId="0" xfId="3" applyNumberFormat="1" applyFont="1" applyFill="1" applyAlignment="1">
      <alignment horizontal="right"/>
    </xf>
    <xf numFmtId="165" fontId="172" fillId="2" borderId="60" xfId="4" applyNumberFormat="1" applyFont="1" applyFill="1" applyBorder="1" applyAlignment="1">
      <alignment horizontal="right"/>
    </xf>
    <xf numFmtId="167" fontId="172" fillId="2" borderId="60" xfId="3" applyNumberFormat="1" applyFont="1" applyFill="1" applyBorder="1" applyAlignment="1">
      <alignment horizontal="right"/>
    </xf>
    <xf numFmtId="167" fontId="183" fillId="2" borderId="0" xfId="3" applyNumberFormat="1" applyFont="1" applyFill="1" applyAlignment="1">
      <alignment horizontal="right" vertical="center"/>
    </xf>
    <xf numFmtId="0" fontId="4" fillId="0" borderId="0" xfId="3" applyFont="1"/>
    <xf numFmtId="10" fontId="4" fillId="0" borderId="0" xfId="2" applyNumberFormat="1" applyFont="1" applyFill="1"/>
    <xf numFmtId="167" fontId="6" fillId="110" borderId="0" xfId="3" applyNumberFormat="1" applyFont="1" applyFill="1" applyAlignment="1">
      <alignment horizontal="right"/>
    </xf>
    <xf numFmtId="0" fontId="0" fillId="0" borderId="0" xfId="0" applyFill="1" applyAlignment="1">
      <alignment vertical="justify" wrapText="1"/>
    </xf>
    <xf numFmtId="0" fontId="5" fillId="2" borderId="0" xfId="3" applyFont="1" applyFill="1" applyBorder="1" applyAlignment="1">
      <alignment horizontal="center" wrapText="1"/>
    </xf>
    <xf numFmtId="0" fontId="5" fillId="2" borderId="51" xfId="3" applyFont="1" applyFill="1" applyBorder="1" applyAlignment="1">
      <alignment horizontal="center" wrapText="1"/>
    </xf>
    <xf numFmtId="0" fontId="4" fillId="2" borderId="0" xfId="3" applyFont="1" applyFill="1" applyAlignment="1">
      <alignment horizontal="left" wrapText="1"/>
    </xf>
    <xf numFmtId="0" fontId="4" fillId="2" borderId="0" xfId="3" applyFont="1" applyFill="1" applyAlignment="1">
      <alignment horizontal="center" wrapText="1"/>
    </xf>
    <xf numFmtId="0" fontId="13" fillId="0" borderId="0" xfId="0" applyFont="1" applyAlignment="1">
      <alignment horizontal="center"/>
    </xf>
    <xf numFmtId="0" fontId="0" fillId="0" borderId="0" xfId="0" applyAlignment="1">
      <alignment horizontal="left" wrapText="1"/>
    </xf>
    <xf numFmtId="0" fontId="0" fillId="0" borderId="0" xfId="0" applyFill="1" applyAlignment="1">
      <alignment horizontal="justify" wrapText="1"/>
    </xf>
    <xf numFmtId="0" fontId="0" fillId="0" borderId="0" xfId="0" applyAlignment="1">
      <alignment horizontal="center"/>
    </xf>
    <xf numFmtId="0" fontId="0" fillId="0" borderId="0" xfId="0" applyAlignment="1">
      <alignment horizontal="justify" vertical="top"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108"/>
  <sheetViews>
    <sheetView tabSelected="1" zoomScaleNormal="100" zoomScaleSheetLayoutView="83" workbookViewId="0">
      <selection activeCell="W21" sqref="W21"/>
    </sheetView>
  </sheetViews>
  <sheetFormatPr defaultRowHeight="15"/>
  <cols>
    <col min="1" max="1" width="5.7109375" customWidth="1"/>
    <col min="2" max="2" width="42.5703125" customWidth="1"/>
    <col min="3" max="3" width="19.28515625" customWidth="1"/>
    <col min="4" max="5" width="12.7109375" hidden="1" customWidth="1"/>
    <col min="6" max="7" width="12.5703125" hidden="1" customWidth="1"/>
    <col min="8" max="9" width="12.85546875" hidden="1" customWidth="1"/>
    <col min="10" max="12" width="12.85546875" style="31" customWidth="1"/>
    <col min="13" max="15" width="12.85546875" style="31" hidden="1" customWidth="1"/>
    <col min="16" max="16" width="3.28515625" style="31" customWidth="1"/>
    <col min="17" max="17" width="13.85546875" hidden="1" customWidth="1"/>
    <col min="18" max="18" width="12.85546875" hidden="1" customWidth="1"/>
    <col min="19" max="19" width="12.85546875" style="31" customWidth="1"/>
    <col min="20" max="20" width="12.85546875" style="31" hidden="1" customWidth="1"/>
    <col min="21" max="21" width="14" style="31" customWidth="1"/>
    <col min="22" max="22" width="11.5703125" customWidth="1"/>
    <col min="23" max="23" width="12.28515625" bestFit="1" customWidth="1"/>
    <col min="24" max="24" width="10.7109375" bestFit="1" customWidth="1"/>
    <col min="25" max="25" width="12.28515625" bestFit="1" customWidth="1"/>
    <col min="26" max="26" width="10.7109375" bestFit="1" customWidth="1"/>
    <col min="27" max="28" width="10" bestFit="1" customWidth="1"/>
  </cols>
  <sheetData>
    <row r="1" spans="1:22" ht="15" customHeight="1">
      <c r="A1" s="65" t="s">
        <v>0</v>
      </c>
      <c r="B1" s="65"/>
      <c r="C1" s="65"/>
      <c r="D1" s="65"/>
      <c r="E1" s="65"/>
      <c r="F1" s="65"/>
      <c r="G1" s="65"/>
      <c r="H1" s="65"/>
      <c r="I1" s="65"/>
      <c r="J1" s="65"/>
      <c r="K1" s="65"/>
      <c r="L1" s="65"/>
      <c r="M1" s="65"/>
      <c r="N1" s="65"/>
      <c r="O1" s="65"/>
      <c r="P1" s="65"/>
    </row>
    <row r="2" spans="1:22" ht="15" customHeight="1">
      <c r="A2" s="65" t="s">
        <v>68</v>
      </c>
      <c r="B2" s="65"/>
      <c r="C2" s="65"/>
      <c r="D2" s="65"/>
      <c r="E2" s="65"/>
      <c r="F2" s="65"/>
      <c r="G2" s="65"/>
      <c r="H2" s="65"/>
      <c r="I2" s="65"/>
      <c r="J2" s="65"/>
      <c r="K2" s="65"/>
      <c r="L2" s="65"/>
      <c r="M2" s="65"/>
      <c r="N2" s="65"/>
      <c r="O2" s="65"/>
      <c r="P2" s="65"/>
    </row>
    <row r="3" spans="1:22" ht="15" customHeight="1">
      <c r="A3" s="66" t="s">
        <v>146</v>
      </c>
      <c r="B3" s="65"/>
      <c r="C3" s="65"/>
      <c r="D3" s="65"/>
      <c r="E3" s="65"/>
      <c r="F3" s="65"/>
      <c r="G3" s="65"/>
      <c r="H3" s="65"/>
      <c r="I3" s="65"/>
      <c r="J3" s="65"/>
      <c r="K3" s="65"/>
      <c r="L3" s="65"/>
      <c r="M3" s="65"/>
      <c r="N3" s="65"/>
      <c r="O3" s="65"/>
      <c r="P3" s="65"/>
    </row>
    <row r="4" spans="1:22" ht="15" customHeight="1">
      <c r="A4" s="65" t="s">
        <v>144</v>
      </c>
      <c r="B4" s="51"/>
      <c r="C4" s="51"/>
      <c r="D4" s="69"/>
      <c r="E4" s="69"/>
      <c r="F4" s="69"/>
      <c r="G4" s="69"/>
      <c r="H4" s="69"/>
      <c r="I4" s="69"/>
      <c r="J4" s="141"/>
      <c r="K4" s="69"/>
      <c r="L4" s="69"/>
      <c r="M4" s="69"/>
      <c r="N4" s="69"/>
      <c r="O4" s="69"/>
      <c r="P4" s="69"/>
    </row>
    <row r="5" spans="1:22" s="31" customFormat="1" ht="15" customHeight="1">
      <c r="A5" s="65" t="s">
        <v>147</v>
      </c>
      <c r="B5" s="51"/>
      <c r="C5" s="51"/>
      <c r="D5" s="69"/>
      <c r="E5" s="69"/>
      <c r="F5" s="69"/>
      <c r="G5" s="69"/>
      <c r="H5" s="69"/>
      <c r="I5" s="69"/>
      <c r="J5" s="141"/>
      <c r="K5" s="69"/>
      <c r="L5" s="69"/>
      <c r="M5" s="69"/>
      <c r="N5" s="69"/>
      <c r="O5" s="69"/>
      <c r="P5" s="69"/>
    </row>
    <row r="6" spans="1:22" ht="30" customHeight="1">
      <c r="A6" s="224" t="s">
        <v>1</v>
      </c>
      <c r="B6" s="13"/>
      <c r="C6" s="13"/>
      <c r="D6" s="3"/>
      <c r="E6" s="3"/>
      <c r="F6" s="3"/>
      <c r="G6" s="3"/>
      <c r="H6" s="3"/>
      <c r="I6" s="3"/>
      <c r="J6" s="140"/>
      <c r="K6" s="140"/>
      <c r="L6" s="140"/>
      <c r="M6" s="3"/>
      <c r="N6" s="3"/>
      <c r="O6" s="140"/>
      <c r="P6" s="140"/>
      <c r="Q6" s="57" t="s">
        <v>148</v>
      </c>
      <c r="R6" s="57" t="s">
        <v>149</v>
      </c>
      <c r="S6" s="57" t="s">
        <v>150</v>
      </c>
      <c r="T6" s="57" t="s">
        <v>151</v>
      </c>
      <c r="U6" s="57" t="s">
        <v>152</v>
      </c>
    </row>
    <row r="7" spans="1:22" ht="15" customHeight="1">
      <c r="A7" s="225"/>
      <c r="B7" s="53"/>
      <c r="C7" s="50" t="s">
        <v>2</v>
      </c>
      <c r="D7" s="70">
        <v>44378</v>
      </c>
      <c r="E7" s="70">
        <f t="shared" ref="E7:I7" si="0">EDATE(D7,1)</f>
        <v>44409</v>
      </c>
      <c r="F7" s="182">
        <f t="shared" si="0"/>
        <v>44440</v>
      </c>
      <c r="G7" s="70">
        <f t="shared" si="0"/>
        <v>44470</v>
      </c>
      <c r="H7" s="70">
        <f t="shared" si="0"/>
        <v>44501</v>
      </c>
      <c r="I7" s="70">
        <f t="shared" si="0"/>
        <v>44531</v>
      </c>
      <c r="J7" s="70">
        <f t="shared" ref="J7" si="1">EDATE(I7,1)</f>
        <v>44562</v>
      </c>
      <c r="K7" s="70">
        <f t="shared" ref="K7" si="2">EDATE(J7,1)</f>
        <v>44593</v>
      </c>
      <c r="L7" s="70">
        <f t="shared" ref="L7" si="3">EDATE(K7,1)</f>
        <v>44621</v>
      </c>
      <c r="M7" s="70">
        <f t="shared" ref="M7" si="4">EDATE(L7,1)</f>
        <v>44652</v>
      </c>
      <c r="N7" s="70">
        <f t="shared" ref="N7" si="5">EDATE(M7,1)</f>
        <v>44682</v>
      </c>
      <c r="O7" s="70">
        <f t="shared" ref="O7" si="6">EDATE(N7,1)</f>
        <v>44713</v>
      </c>
      <c r="P7" s="70"/>
      <c r="Q7" s="58" t="s">
        <v>3</v>
      </c>
      <c r="R7" s="58" t="s">
        <v>3</v>
      </c>
      <c r="S7" s="139" t="s">
        <v>3</v>
      </c>
      <c r="T7" s="58" t="s">
        <v>3</v>
      </c>
      <c r="U7" s="143">
        <v>44742</v>
      </c>
    </row>
    <row r="8" spans="1:22" ht="15" customHeight="1">
      <c r="A8" s="28"/>
      <c r="B8" s="28" t="s">
        <v>4</v>
      </c>
      <c r="C8" s="28" t="s">
        <v>5</v>
      </c>
      <c r="D8" s="3" t="s">
        <v>12</v>
      </c>
      <c r="E8" s="3" t="s">
        <v>13</v>
      </c>
      <c r="F8" s="183" t="s">
        <v>14</v>
      </c>
      <c r="G8" s="3" t="s">
        <v>15</v>
      </c>
      <c r="H8" s="3" t="s">
        <v>16</v>
      </c>
      <c r="I8" s="3" t="s">
        <v>17</v>
      </c>
      <c r="J8" s="3" t="s">
        <v>18</v>
      </c>
      <c r="K8" s="3" t="s">
        <v>105</v>
      </c>
      <c r="L8" s="3" t="s">
        <v>106</v>
      </c>
      <c r="M8" s="3" t="s">
        <v>107</v>
      </c>
      <c r="N8" s="3" t="s">
        <v>108</v>
      </c>
      <c r="O8" s="3" t="s">
        <v>145</v>
      </c>
      <c r="P8" s="3"/>
      <c r="Q8" s="4"/>
      <c r="R8" s="4"/>
      <c r="S8" s="4"/>
      <c r="T8" s="4"/>
      <c r="U8" s="5"/>
    </row>
    <row r="9" spans="1:22" ht="15" customHeight="1">
      <c r="A9" s="28"/>
      <c r="B9" s="1" t="s">
        <v>19</v>
      </c>
      <c r="C9" s="28"/>
      <c r="D9" s="3"/>
      <c r="E9" s="3"/>
      <c r="F9" s="183"/>
      <c r="G9" s="3"/>
      <c r="H9" s="3"/>
      <c r="I9" s="3"/>
      <c r="J9" s="3"/>
      <c r="K9" s="3"/>
      <c r="L9" s="3"/>
      <c r="M9" s="3"/>
      <c r="N9" s="3"/>
      <c r="O9" s="3"/>
      <c r="P9" s="3"/>
      <c r="Q9" s="62"/>
      <c r="R9" s="62"/>
      <c r="S9" s="62"/>
      <c r="T9" s="62"/>
      <c r="U9" s="5"/>
    </row>
    <row r="10" spans="1:22" ht="15" customHeight="1">
      <c r="A10" s="28"/>
      <c r="B10" s="71"/>
      <c r="C10" s="28"/>
      <c r="D10" s="3"/>
      <c r="E10" s="3"/>
      <c r="F10" s="183"/>
      <c r="G10" s="3"/>
      <c r="H10" s="3"/>
      <c r="I10" s="3"/>
      <c r="J10" s="3"/>
      <c r="K10" s="3"/>
      <c r="L10" s="3"/>
      <c r="M10" s="3"/>
      <c r="N10" s="3"/>
      <c r="O10" s="3"/>
      <c r="P10" s="3"/>
      <c r="Q10" s="59"/>
      <c r="R10" s="59"/>
      <c r="S10" s="59"/>
      <c r="T10" s="59"/>
      <c r="U10" s="60"/>
    </row>
    <row r="11" spans="1:22" ht="15" customHeight="1">
      <c r="A11" s="28">
        <v>1</v>
      </c>
      <c r="B11" s="13" t="s">
        <v>70</v>
      </c>
      <c r="C11" s="28" t="s">
        <v>71</v>
      </c>
      <c r="D11" s="72">
        <v>114060</v>
      </c>
      <c r="E11" s="184">
        <v>114220</v>
      </c>
      <c r="F11" s="72">
        <v>114334</v>
      </c>
      <c r="G11" s="72">
        <v>115010</v>
      </c>
      <c r="H11" s="72">
        <v>114944</v>
      </c>
      <c r="I11" s="72">
        <v>115295</v>
      </c>
      <c r="J11" s="72">
        <v>115371</v>
      </c>
      <c r="K11" s="72">
        <v>115260</v>
      </c>
      <c r="L11" s="72">
        <v>115794</v>
      </c>
      <c r="M11" s="72">
        <v>0</v>
      </c>
      <c r="N11" s="72">
        <v>0</v>
      </c>
      <c r="O11" s="72">
        <v>0</v>
      </c>
      <c r="P11" s="72"/>
      <c r="Q11" s="59">
        <f>SUM(D11:F11)</f>
        <v>342614</v>
      </c>
      <c r="R11" s="59">
        <f>SUM(G11:I11)</f>
        <v>345249</v>
      </c>
      <c r="S11" s="59">
        <f>SUM(J11:L11)</f>
        <v>346425</v>
      </c>
      <c r="T11" s="59">
        <f>SUM(M11:O11)</f>
        <v>0</v>
      </c>
      <c r="U11" s="60">
        <f>SUM(D11:O11)</f>
        <v>1034288</v>
      </c>
    </row>
    <row r="12" spans="1:22" ht="15" customHeight="1">
      <c r="A12" s="49">
        <v>2</v>
      </c>
      <c r="B12" s="13" t="s">
        <v>72</v>
      </c>
      <c r="C12" s="28" t="s">
        <v>71</v>
      </c>
      <c r="D12" s="72">
        <v>119710272.2</v>
      </c>
      <c r="E12" s="184">
        <v>99035446.947999999</v>
      </c>
      <c r="F12" s="72">
        <v>71320105.595039994</v>
      </c>
      <c r="G12" s="72">
        <v>87368332.960109994</v>
      </c>
      <c r="H12" s="72">
        <v>109119945.605</v>
      </c>
      <c r="I12" s="72">
        <v>142144368.69099998</v>
      </c>
      <c r="J12" s="72">
        <v>153970788.89700001</v>
      </c>
      <c r="K12" s="72">
        <v>125987713.42998999</v>
      </c>
      <c r="L12" s="72">
        <v>113132052.736</v>
      </c>
      <c r="M12" s="72">
        <v>0</v>
      </c>
      <c r="N12" s="72">
        <v>0</v>
      </c>
      <c r="O12" s="72">
        <v>0</v>
      </c>
      <c r="P12" s="72"/>
      <c r="Q12" s="59">
        <f>SUM(D12:F12)</f>
        <v>290065824.74303997</v>
      </c>
      <c r="R12" s="59">
        <f>SUM(G12:I12)</f>
        <v>338632647.25610995</v>
      </c>
      <c r="S12" s="59">
        <f>SUM(J12:L12)</f>
        <v>393090555.06299001</v>
      </c>
      <c r="T12" s="59">
        <f>SUM(M12:O12)</f>
        <v>0</v>
      </c>
      <c r="U12" s="60">
        <f>SUM(D12:O12)</f>
        <v>1021789027.0621402</v>
      </c>
      <c r="V12" s="8"/>
    </row>
    <row r="13" spans="1:22" ht="15" customHeight="1">
      <c r="A13" s="28">
        <v>3</v>
      </c>
      <c r="B13" s="13" t="s">
        <v>73</v>
      </c>
      <c r="C13" s="28" t="s">
        <v>71</v>
      </c>
      <c r="D13" s="185">
        <v>11465671.984199999</v>
      </c>
      <c r="E13" s="186">
        <v>9620225.0672000013</v>
      </c>
      <c r="F13" s="185">
        <v>7252227.2744300002</v>
      </c>
      <c r="G13" s="185">
        <v>8803237.8882500008</v>
      </c>
      <c r="H13" s="185">
        <v>10979381.6896</v>
      </c>
      <c r="I13" s="185">
        <v>14252805.758199999</v>
      </c>
      <c r="J13" s="185">
        <v>15544872.3857</v>
      </c>
      <c r="K13" s="185">
        <v>12699379.1818</v>
      </c>
      <c r="L13" s="185">
        <v>11450091.7126</v>
      </c>
      <c r="M13" s="185">
        <v>0</v>
      </c>
      <c r="N13" s="185">
        <v>0</v>
      </c>
      <c r="O13" s="185">
        <v>0</v>
      </c>
      <c r="P13" s="185"/>
      <c r="Q13" s="124">
        <f>SUM(D13:F13)</f>
        <v>28338124.325829998</v>
      </c>
      <c r="R13" s="124">
        <f>SUM(G13:I13)</f>
        <v>34035425.336049996</v>
      </c>
      <c r="S13" s="124">
        <f>SUM(J13:L13)</f>
        <v>39694343.280100003</v>
      </c>
      <c r="T13" s="59">
        <f>SUM(M13:O13)</f>
        <v>0</v>
      </c>
      <c r="U13" s="60">
        <f>SUM(D13:O13)</f>
        <v>102067892.94197997</v>
      </c>
    </row>
    <row r="14" spans="1:22" ht="15" customHeight="1">
      <c r="A14" s="49">
        <v>4</v>
      </c>
      <c r="B14" s="13" t="s">
        <v>74</v>
      </c>
      <c r="C14" s="28" t="s">
        <v>71</v>
      </c>
      <c r="D14" s="185">
        <v>688247.92</v>
      </c>
      <c r="E14" s="186">
        <v>689787.08</v>
      </c>
      <c r="F14" s="185">
        <v>689130</v>
      </c>
      <c r="G14" s="185">
        <v>692153.6</v>
      </c>
      <c r="H14" s="185">
        <v>691798.6</v>
      </c>
      <c r="I14" s="185">
        <v>695126.8</v>
      </c>
      <c r="J14" s="185">
        <v>662997</v>
      </c>
      <c r="K14" s="185">
        <v>674181.2</v>
      </c>
      <c r="L14" s="185">
        <v>749237.8</v>
      </c>
      <c r="M14" s="185">
        <v>0</v>
      </c>
      <c r="N14" s="185">
        <v>0</v>
      </c>
      <c r="O14" s="185">
        <v>0</v>
      </c>
      <c r="P14" s="185"/>
      <c r="Q14" s="124">
        <f>SUM(D14:F14)</f>
        <v>2067165</v>
      </c>
      <c r="R14" s="124">
        <f>SUM(G14:I14)</f>
        <v>2079079</v>
      </c>
      <c r="S14" s="124">
        <f>SUM(J14:L14)</f>
        <v>2086416</v>
      </c>
      <c r="T14" s="59">
        <f>SUM(M14:O14)</f>
        <v>0</v>
      </c>
      <c r="U14" s="60">
        <f>SUM(D14:O14)</f>
        <v>6232660</v>
      </c>
    </row>
    <row r="15" spans="1:22" ht="15" customHeight="1">
      <c r="A15" s="28"/>
      <c r="B15" s="13"/>
      <c r="C15" s="28"/>
      <c r="D15" s="73"/>
      <c r="E15" s="187"/>
      <c r="F15" s="73"/>
      <c r="G15" s="73"/>
      <c r="H15" s="73"/>
      <c r="I15" s="73"/>
      <c r="J15" s="73"/>
      <c r="K15" s="73"/>
      <c r="L15" s="73"/>
      <c r="M15" s="73"/>
      <c r="N15" s="73"/>
      <c r="O15" s="73"/>
      <c r="P15" s="73"/>
      <c r="U15" s="60"/>
    </row>
    <row r="16" spans="1:22" ht="15" customHeight="1">
      <c r="A16" s="49"/>
      <c r="B16" s="71" t="s">
        <v>75</v>
      </c>
      <c r="C16" s="28"/>
      <c r="D16" s="73"/>
      <c r="E16" s="187"/>
      <c r="F16" s="73"/>
      <c r="G16" s="73"/>
      <c r="H16" s="73"/>
      <c r="I16" s="73"/>
      <c r="J16" s="73"/>
      <c r="K16" s="73"/>
      <c r="L16" s="73"/>
      <c r="M16" s="73"/>
      <c r="N16" s="73"/>
      <c r="O16" s="73"/>
      <c r="P16" s="73"/>
      <c r="U16" s="60"/>
    </row>
    <row r="17" spans="1:23" ht="15" customHeight="1">
      <c r="A17" s="28">
        <v>5</v>
      </c>
      <c r="B17" s="13" t="s">
        <v>76</v>
      </c>
      <c r="C17" s="28" t="str">
        <f>"("&amp;A11&amp;") - ("&amp;A31&amp;")"</f>
        <v>(1) - (16)</v>
      </c>
      <c r="D17" s="73">
        <f t="shared" ref="D17:O17" si="7">D11-D31</f>
        <v>107863</v>
      </c>
      <c r="E17" s="187">
        <f t="shared" si="7"/>
        <v>107879</v>
      </c>
      <c r="F17" s="73">
        <f t="shared" si="7"/>
        <v>109988</v>
      </c>
      <c r="G17" s="73">
        <f t="shared" si="7"/>
        <v>110424</v>
      </c>
      <c r="H17" s="73">
        <f t="shared" si="7"/>
        <v>110148</v>
      </c>
      <c r="I17" s="73">
        <f>I11-I31</f>
        <v>110348</v>
      </c>
      <c r="J17" s="73">
        <f t="shared" si="7"/>
        <v>110389</v>
      </c>
      <c r="K17" s="73">
        <f t="shared" si="7"/>
        <v>110662</v>
      </c>
      <c r="L17" s="73">
        <f t="shared" si="7"/>
        <v>110629</v>
      </c>
      <c r="M17" s="73">
        <f>M11-M31</f>
        <v>0</v>
      </c>
      <c r="N17" s="73">
        <f t="shared" si="7"/>
        <v>0</v>
      </c>
      <c r="O17" s="73">
        <f t="shared" si="7"/>
        <v>0</v>
      </c>
      <c r="P17" s="73"/>
      <c r="Q17" s="59">
        <f>SUM(D17:F17)</f>
        <v>325730</v>
      </c>
      <c r="R17" s="59">
        <f>SUM(G17:I17)</f>
        <v>330920</v>
      </c>
      <c r="S17" s="59">
        <f>SUM(J17:L17)</f>
        <v>331680</v>
      </c>
      <c r="T17" s="59">
        <f>SUM(M17:O17)</f>
        <v>0</v>
      </c>
      <c r="U17" s="60">
        <f>SUM(D17:O17)</f>
        <v>988330</v>
      </c>
    </row>
    <row r="18" spans="1:23" ht="15" customHeight="1">
      <c r="A18" s="49">
        <v>6</v>
      </c>
      <c r="B18" s="68" t="s">
        <v>77</v>
      </c>
      <c r="C18" s="74" t="s">
        <v>78</v>
      </c>
      <c r="D18" s="75">
        <v>54.178728059723568</v>
      </c>
      <c r="E18" s="188">
        <v>54.494967242017523</v>
      </c>
      <c r="F18" s="75">
        <v>43.75769067330554</v>
      </c>
      <c r="G18" s="75">
        <v>51.939911414767927</v>
      </c>
      <c r="H18" s="75">
        <v>73.471256511974872</v>
      </c>
      <c r="I18" s="75">
        <v>86.799838968891308</v>
      </c>
      <c r="J18" s="75">
        <v>83.310541066714578</v>
      </c>
      <c r="K18" s="75">
        <v>68.638632327225764</v>
      </c>
      <c r="L18" s="75">
        <v>66.13530778741044</v>
      </c>
      <c r="M18" s="75">
        <v>56.040438921390844</v>
      </c>
      <c r="N18" s="75">
        <v>51.049863962862659</v>
      </c>
      <c r="O18" s="75">
        <v>47.336018873159524</v>
      </c>
      <c r="P18" s="75"/>
      <c r="Q18" s="55">
        <f t="shared" ref="Q18:U18" si="8">Q19/Q17</f>
        <v>50.764632049805364</v>
      </c>
      <c r="R18" s="55">
        <f t="shared" si="8"/>
        <v>70.731032790053675</v>
      </c>
      <c r="S18" s="55">
        <f t="shared" si="8"/>
        <v>72.686742081592016</v>
      </c>
      <c r="T18" s="55" t="e">
        <f t="shared" si="8"/>
        <v>#DIV/0!</v>
      </c>
      <c r="U18" s="55">
        <f t="shared" si="8"/>
        <v>64.806912248024545</v>
      </c>
      <c r="V18" s="55"/>
      <c r="W18" s="111"/>
    </row>
    <row r="19" spans="1:23" ht="15" customHeight="1">
      <c r="A19" s="28">
        <v>7</v>
      </c>
      <c r="B19" s="13" t="s">
        <v>79</v>
      </c>
      <c r="C19" s="28" t="str">
        <f>"("&amp;A17&amp;") x ("&amp;A18&amp;")"</f>
        <v>(5) x (6)</v>
      </c>
      <c r="D19" s="77">
        <f t="shared" ref="D19:N19" si="9">D17*D18</f>
        <v>5843880.1447059633</v>
      </c>
      <c r="E19" s="189">
        <f t="shared" si="9"/>
        <v>5878862.5711016087</v>
      </c>
      <c r="F19" s="77">
        <f t="shared" si="9"/>
        <v>4812820.8817755301</v>
      </c>
      <c r="G19" s="77">
        <f t="shared" si="9"/>
        <v>5735412.7780643338</v>
      </c>
      <c r="H19" s="77">
        <f t="shared" si="9"/>
        <v>8092711.9622810083</v>
      </c>
      <c r="I19" s="77">
        <f t="shared" si="9"/>
        <v>9578188.630539218</v>
      </c>
      <c r="J19" s="77">
        <f t="shared" si="9"/>
        <v>9196567.3178135548</v>
      </c>
      <c r="K19" s="77">
        <f t="shared" si="9"/>
        <v>7595688.3305954579</v>
      </c>
      <c r="L19" s="77">
        <f t="shared" si="9"/>
        <v>7316482.9652134292</v>
      </c>
      <c r="M19" s="77">
        <f t="shared" si="9"/>
        <v>0</v>
      </c>
      <c r="N19" s="77">
        <f t="shared" si="9"/>
        <v>0</v>
      </c>
      <c r="O19" s="190">
        <f>O17*O18+0</f>
        <v>0</v>
      </c>
      <c r="P19" s="191"/>
      <c r="Q19" s="56">
        <f>SUM(D19:F19)</f>
        <v>16535563.597583102</v>
      </c>
      <c r="R19" s="56">
        <f>SUM(G19:I19)</f>
        <v>23406313.37088456</v>
      </c>
      <c r="S19" s="56">
        <f>SUM(J19:L19)</f>
        <v>24108738.613622442</v>
      </c>
      <c r="T19" s="56">
        <f>SUM(M19:O19)</f>
        <v>0</v>
      </c>
      <c r="U19" s="61">
        <f>SUM(D19:O19)</f>
        <v>64050615.582090095</v>
      </c>
    </row>
    <row r="20" spans="1:23" ht="15" customHeight="1">
      <c r="A20" s="49"/>
      <c r="B20" s="13"/>
      <c r="C20" s="28"/>
      <c r="D20" s="78"/>
      <c r="E20" s="192"/>
      <c r="F20" s="78"/>
      <c r="G20" s="78"/>
      <c r="H20" s="78"/>
      <c r="I20" s="78"/>
      <c r="J20" s="78"/>
      <c r="K20" s="78"/>
      <c r="L20" s="78"/>
      <c r="M20" s="78"/>
      <c r="N20" s="78"/>
      <c r="O20" s="78"/>
      <c r="P20" s="78"/>
    </row>
    <row r="21" spans="1:23" ht="15" customHeight="1">
      <c r="A21" s="28">
        <v>8</v>
      </c>
      <c r="B21" s="13" t="s">
        <v>30</v>
      </c>
      <c r="C21" s="28" t="str">
        <f>"("&amp;A13&amp;") - ("&amp;A35&amp;")"</f>
        <v>(3) - (19)</v>
      </c>
      <c r="D21" s="77">
        <f t="shared" ref="D21:O22" si="10">D13-D35</f>
        <v>11055391.4542</v>
      </c>
      <c r="E21" s="189">
        <f t="shared" si="10"/>
        <v>9220802.6472000014</v>
      </c>
      <c r="F21" s="77">
        <f t="shared" si="10"/>
        <v>7060917.49443</v>
      </c>
      <c r="G21" s="77">
        <f t="shared" si="10"/>
        <v>8587672.0982500017</v>
      </c>
      <c r="H21" s="77">
        <f t="shared" si="10"/>
        <v>10678035.1296</v>
      </c>
      <c r="I21" s="77">
        <f t="shared" si="10"/>
        <v>13836803.348199999</v>
      </c>
      <c r="J21" s="77">
        <f t="shared" si="10"/>
        <v>15022746.9957</v>
      </c>
      <c r="K21" s="77">
        <f t="shared" si="10"/>
        <v>12270553.5418</v>
      </c>
      <c r="L21" s="77">
        <f t="shared" si="10"/>
        <v>11031575.7226</v>
      </c>
      <c r="M21" s="77">
        <f t="shared" si="10"/>
        <v>0</v>
      </c>
      <c r="N21" s="77">
        <f t="shared" si="10"/>
        <v>0</v>
      </c>
      <c r="O21" s="77">
        <f t="shared" si="10"/>
        <v>0</v>
      </c>
      <c r="P21" s="77"/>
      <c r="Q21" s="77">
        <f t="shared" ref="Q21:R21" si="11">Q13-Q35</f>
        <v>27337111.595829997</v>
      </c>
      <c r="R21" s="77">
        <f t="shared" si="11"/>
        <v>33102510.576049995</v>
      </c>
      <c r="S21" s="77">
        <f>S13-S35</f>
        <v>38324876.2601</v>
      </c>
      <c r="T21" s="77">
        <f t="shared" ref="T21" si="12">T13-T35</f>
        <v>0</v>
      </c>
      <c r="U21" s="77">
        <f>U13-U35</f>
        <v>98764498.431979969</v>
      </c>
    </row>
    <row r="22" spans="1:23" ht="15" customHeight="1">
      <c r="A22" s="49">
        <v>9</v>
      </c>
      <c r="B22" s="13" t="s">
        <v>20</v>
      </c>
      <c r="C22" s="28" t="str">
        <f>"("&amp;A14&amp;") - ("&amp;A36&amp;")"</f>
        <v>(4) - (20)</v>
      </c>
      <c r="D22" s="77">
        <f t="shared" si="10"/>
        <v>652942.32000000007</v>
      </c>
      <c r="E22" s="189">
        <f t="shared" si="10"/>
        <v>653741.48</v>
      </c>
      <c r="F22" s="77">
        <f t="shared" si="10"/>
        <v>664381.19999999995</v>
      </c>
      <c r="G22" s="77">
        <f t="shared" si="10"/>
        <v>665976.4</v>
      </c>
      <c r="H22" s="77">
        <f t="shared" si="10"/>
        <v>664576</v>
      </c>
      <c r="I22" s="77">
        <f t="shared" si="10"/>
        <v>666529.80000000005</v>
      </c>
      <c r="J22" s="77">
        <f t="shared" si="10"/>
        <v>633933.6</v>
      </c>
      <c r="K22" s="77">
        <f t="shared" si="10"/>
        <v>647604.19999999995</v>
      </c>
      <c r="L22" s="77">
        <f t="shared" si="10"/>
        <v>719436.4</v>
      </c>
      <c r="M22" s="77">
        <f t="shared" si="10"/>
        <v>0</v>
      </c>
      <c r="N22" s="77">
        <f t="shared" si="10"/>
        <v>0</v>
      </c>
      <c r="O22" s="77">
        <f t="shared" si="10"/>
        <v>0</v>
      </c>
      <c r="P22" s="77"/>
      <c r="Q22" s="77">
        <f t="shared" ref="Q22:R22" si="13">Q14-Q36</f>
        <v>1971065</v>
      </c>
      <c r="R22" s="77">
        <f t="shared" si="13"/>
        <v>1997082.2</v>
      </c>
      <c r="S22" s="77">
        <f>S14-S36</f>
        <v>2000974.2</v>
      </c>
      <c r="T22" s="77">
        <f t="shared" ref="T22" si="14">T14-T36</f>
        <v>0</v>
      </c>
      <c r="U22" s="77">
        <f>U14-U36</f>
        <v>5969121.4000000004</v>
      </c>
    </row>
    <row r="23" spans="1:23" ht="15" customHeight="1">
      <c r="A23" s="28">
        <v>10</v>
      </c>
      <c r="B23" s="2" t="s">
        <v>80</v>
      </c>
      <c r="C23" s="28" t="str">
        <f>"("&amp;A12&amp;") - ("&amp;A37&amp;")"</f>
        <v>(2) - (21)</v>
      </c>
      <c r="D23" s="73">
        <f t="shared" ref="D23:O23" si="15">D12-D37</f>
        <v>115502898.76100001</v>
      </c>
      <c r="E23" s="187">
        <f t="shared" si="15"/>
        <v>94943154.865999997</v>
      </c>
      <c r="F23" s="73">
        <f t="shared" si="15"/>
        <v>69462901.921039999</v>
      </c>
      <c r="G23" s="73">
        <f t="shared" si="15"/>
        <v>85309005.181109995</v>
      </c>
      <c r="H23" s="73">
        <f t="shared" si="15"/>
        <v>106188197.044</v>
      </c>
      <c r="I23" s="73">
        <f t="shared" si="15"/>
        <v>138057489.99599999</v>
      </c>
      <c r="J23" s="73">
        <f t="shared" si="15"/>
        <v>148815242.25100002</v>
      </c>
      <c r="K23" s="73">
        <f t="shared" si="15"/>
        <v>121765262.39399</v>
      </c>
      <c r="L23" s="73">
        <f t="shared" si="15"/>
        <v>109021699.05599999</v>
      </c>
      <c r="M23" s="73">
        <f t="shared" si="15"/>
        <v>0</v>
      </c>
      <c r="N23" s="73">
        <f t="shared" si="15"/>
        <v>0</v>
      </c>
      <c r="O23" s="73">
        <f t="shared" si="15"/>
        <v>0</v>
      </c>
      <c r="P23" s="73"/>
      <c r="Q23" s="73">
        <f t="shared" ref="Q23:R23" si="16">Q12-Q37</f>
        <v>279908955.54803997</v>
      </c>
      <c r="R23" s="73">
        <f t="shared" si="16"/>
        <v>329554692.22110993</v>
      </c>
      <c r="S23" s="73">
        <f>S12-S37</f>
        <v>379602203.70099002</v>
      </c>
      <c r="T23" s="73">
        <f>T12-T37</f>
        <v>0</v>
      </c>
      <c r="U23" s="73">
        <f>U12-U37</f>
        <v>989065851.47014022</v>
      </c>
    </row>
    <row r="24" spans="1:23" ht="15" customHeight="1">
      <c r="A24" s="49">
        <v>11</v>
      </c>
      <c r="B24" s="13" t="s">
        <v>81</v>
      </c>
      <c r="C24" s="28" t="s">
        <v>82</v>
      </c>
      <c r="D24" s="193">
        <v>2.2120000000000001E-2</v>
      </c>
      <c r="E24" s="194">
        <f t="shared" ref="E24:O24" si="17">D24</f>
        <v>2.2120000000000001E-2</v>
      </c>
      <c r="F24" s="193">
        <v>2.5000000000000001E-2</v>
      </c>
      <c r="G24" s="79">
        <f t="shared" si="17"/>
        <v>2.5000000000000001E-2</v>
      </c>
      <c r="H24" s="79">
        <f t="shared" si="17"/>
        <v>2.5000000000000001E-2</v>
      </c>
      <c r="I24" s="79">
        <f t="shared" si="17"/>
        <v>2.5000000000000001E-2</v>
      </c>
      <c r="J24" s="79">
        <f t="shared" si="17"/>
        <v>2.5000000000000001E-2</v>
      </c>
      <c r="K24" s="79">
        <f t="shared" si="17"/>
        <v>2.5000000000000001E-2</v>
      </c>
      <c r="L24" s="79">
        <f t="shared" si="17"/>
        <v>2.5000000000000001E-2</v>
      </c>
      <c r="M24" s="79">
        <f t="shared" si="17"/>
        <v>2.5000000000000001E-2</v>
      </c>
      <c r="N24" s="79">
        <f t="shared" si="17"/>
        <v>2.5000000000000001E-2</v>
      </c>
      <c r="O24" s="79">
        <f t="shared" si="17"/>
        <v>2.5000000000000001E-2</v>
      </c>
      <c r="P24" s="79"/>
      <c r="Q24" s="79">
        <f t="shared" ref="Q24:U24" si="18">Q25/Q23</f>
        <v>2.2834707956167058E-2</v>
      </c>
      <c r="R24" s="79">
        <f t="shared" si="18"/>
        <v>2.5000000000000008E-2</v>
      </c>
      <c r="S24" s="79">
        <f t="shared" si="18"/>
        <v>2.5000000000000005E-2</v>
      </c>
      <c r="T24" s="79" t="e">
        <f t="shared" si="18"/>
        <v>#DIV/0!</v>
      </c>
      <c r="U24" s="79">
        <f t="shared" si="18"/>
        <v>2.4387215084268773E-2</v>
      </c>
      <c r="V24" s="111"/>
    </row>
    <row r="25" spans="1:23" ht="15" customHeight="1">
      <c r="A25" s="28">
        <v>12</v>
      </c>
      <c r="B25" s="13" t="s">
        <v>83</v>
      </c>
      <c r="C25" s="28" t="str">
        <f>"("&amp;A23&amp;") x ("&amp;A24&amp;")"</f>
        <v>(10) x (11)</v>
      </c>
      <c r="D25" s="77">
        <f t="shared" ref="D25:O25" si="19">D23*D24</f>
        <v>2554924.1205933201</v>
      </c>
      <c r="E25" s="189">
        <f t="shared" si="19"/>
        <v>2100142.5856359201</v>
      </c>
      <c r="F25" s="77">
        <f t="shared" si="19"/>
        <v>1736572.5480260001</v>
      </c>
      <c r="G25" s="77">
        <f t="shared" si="19"/>
        <v>2132725.12952775</v>
      </c>
      <c r="H25" s="77">
        <f t="shared" si="19"/>
        <v>2654704.9261000003</v>
      </c>
      <c r="I25" s="77">
        <f t="shared" si="19"/>
        <v>3451437.2499000002</v>
      </c>
      <c r="J25" s="77">
        <f t="shared" si="19"/>
        <v>3720381.0562750008</v>
      </c>
      <c r="K25" s="77">
        <f t="shared" si="19"/>
        <v>3044131.5598497503</v>
      </c>
      <c r="L25" s="77">
        <f t="shared" si="19"/>
        <v>2725542.4764</v>
      </c>
      <c r="M25" s="77">
        <f t="shared" si="19"/>
        <v>0</v>
      </c>
      <c r="N25" s="77">
        <f t="shared" si="19"/>
        <v>0</v>
      </c>
      <c r="O25" s="77">
        <f t="shared" si="19"/>
        <v>0</v>
      </c>
      <c r="P25" s="77"/>
      <c r="Q25" s="77">
        <f>SUM(D25:F25)</f>
        <v>6391639.2542552399</v>
      </c>
      <c r="R25" s="77">
        <f>SUM(G25:I25)</f>
        <v>8238867.3055277504</v>
      </c>
      <c r="S25" s="77">
        <f>SUM(J25:L25)</f>
        <v>9490055.092524752</v>
      </c>
      <c r="T25" s="77">
        <f>SUM(M25:O25)</f>
        <v>0</v>
      </c>
      <c r="U25" s="61">
        <f>SUM(D25:O25)</f>
        <v>24120561.652307741</v>
      </c>
    </row>
    <row r="26" spans="1:23" ht="15" customHeight="1">
      <c r="A26" s="49">
        <v>13</v>
      </c>
      <c r="B26" s="13" t="s">
        <v>84</v>
      </c>
      <c r="C26" s="28" t="str">
        <f>"("&amp;A21&amp;") - ("&amp;A22&amp;") -("&amp;A25&amp;")"</f>
        <v>(8) - (9) -(12)</v>
      </c>
      <c r="D26" s="77">
        <f t="shared" ref="D26:O26" si="20">D21-D22-D25</f>
        <v>7847525.0136066787</v>
      </c>
      <c r="E26" s="189">
        <f t="shared" si="20"/>
        <v>6466918.5815640809</v>
      </c>
      <c r="F26" s="77">
        <f t="shared" si="20"/>
        <v>4659963.7464039996</v>
      </c>
      <c r="G26" s="77">
        <f t="shared" si="20"/>
        <v>5788970.5687222518</v>
      </c>
      <c r="H26" s="77">
        <f t="shared" si="20"/>
        <v>7358754.2034999989</v>
      </c>
      <c r="I26" s="77">
        <f t="shared" si="20"/>
        <v>9718836.298299998</v>
      </c>
      <c r="J26" s="77">
        <f t="shared" si="20"/>
        <v>10668432.339424999</v>
      </c>
      <c r="K26" s="77">
        <f t="shared" si="20"/>
        <v>8578817.7819502503</v>
      </c>
      <c r="L26" s="77">
        <f t="shared" si="20"/>
        <v>7586596.8461999996</v>
      </c>
      <c r="M26" s="77">
        <f t="shared" si="20"/>
        <v>0</v>
      </c>
      <c r="N26" s="77">
        <f t="shared" si="20"/>
        <v>0</v>
      </c>
      <c r="O26" s="77">
        <f t="shared" si="20"/>
        <v>0</v>
      </c>
      <c r="P26" s="77"/>
      <c r="Q26" s="56">
        <f>SUM(D26:F26)</f>
        <v>18974407.341574758</v>
      </c>
      <c r="R26" s="56">
        <f>SUM(G26:I26)</f>
        <v>22866561.070522249</v>
      </c>
      <c r="S26" s="56">
        <f>SUM(J26:L26)</f>
        <v>26833846.967575248</v>
      </c>
      <c r="T26" s="56">
        <f>SUM(M26:O26)</f>
        <v>0</v>
      </c>
      <c r="U26" s="61">
        <f>SUM(D26:O26)</f>
        <v>68674815.379672259</v>
      </c>
    </row>
    <row r="27" spans="1:23" ht="15" customHeight="1">
      <c r="A27" s="28">
        <v>14</v>
      </c>
      <c r="B27" s="3" t="s">
        <v>21</v>
      </c>
      <c r="C27" s="28"/>
      <c r="D27" s="80">
        <f t="shared" ref="D27:O27" si="21">D26/D17</f>
        <v>72.754559150094835</v>
      </c>
      <c r="E27" s="195">
        <f t="shared" si="21"/>
        <v>59.94603751948091</v>
      </c>
      <c r="F27" s="80">
        <f t="shared" si="21"/>
        <v>42.367928741353602</v>
      </c>
      <c r="G27" s="80">
        <f t="shared" si="21"/>
        <v>52.424930891131019</v>
      </c>
      <c r="H27" s="80">
        <f t="shared" si="21"/>
        <v>66.807878522533315</v>
      </c>
      <c r="I27" s="80">
        <f t="shared" si="21"/>
        <v>88.074421813716583</v>
      </c>
      <c r="J27" s="80">
        <f t="shared" si="21"/>
        <v>96.643980282682151</v>
      </c>
      <c r="K27" s="80">
        <f t="shared" si="21"/>
        <v>77.522706818512674</v>
      </c>
      <c r="L27" s="80">
        <f t="shared" si="21"/>
        <v>68.576926901626152</v>
      </c>
      <c r="M27" s="80" t="e">
        <f t="shared" si="21"/>
        <v>#DIV/0!</v>
      </c>
      <c r="N27" s="80" t="e">
        <f t="shared" si="21"/>
        <v>#DIV/0!</v>
      </c>
      <c r="O27" s="80" t="e">
        <f t="shared" si="21"/>
        <v>#DIV/0!</v>
      </c>
      <c r="P27" s="80"/>
      <c r="Q27" s="63">
        <f t="shared" ref="Q27:U27" si="22">Q26/Q17</f>
        <v>58.251948980980437</v>
      </c>
      <c r="R27" s="63">
        <f t="shared" si="22"/>
        <v>69.099966972447262</v>
      </c>
      <c r="S27" s="63">
        <f t="shared" si="22"/>
        <v>80.902818884392332</v>
      </c>
      <c r="T27" s="63" t="e">
        <f t="shared" si="22"/>
        <v>#DIV/0!</v>
      </c>
      <c r="U27" s="63">
        <f t="shared" si="22"/>
        <v>69.48571365806184</v>
      </c>
      <c r="V27" s="111"/>
      <c r="W27" s="111"/>
    </row>
    <row r="28" spans="1:23" ht="15" customHeight="1">
      <c r="A28" s="49">
        <v>15</v>
      </c>
      <c r="B28" s="13" t="s">
        <v>85</v>
      </c>
      <c r="C28" s="28" t="str">
        <f>"("&amp;A$19&amp;") - ("&amp;A26&amp;")"</f>
        <v>(7) - (13)</v>
      </c>
      <c r="D28" s="77">
        <f t="shared" ref="D28:O28" si="23">D19-D26</f>
        <v>-2003644.8689007154</v>
      </c>
      <c r="E28" s="189">
        <f t="shared" si="23"/>
        <v>-588056.01046247222</v>
      </c>
      <c r="F28" s="77">
        <f t="shared" si="23"/>
        <v>152857.13537153043</v>
      </c>
      <c r="G28" s="77">
        <f t="shared" si="23"/>
        <v>-53557.790657917969</v>
      </c>
      <c r="H28" s="77">
        <f t="shared" si="23"/>
        <v>733957.75878100935</v>
      </c>
      <c r="I28" s="77">
        <f t="shared" si="23"/>
        <v>-140647.66776078008</v>
      </c>
      <c r="J28" s="77">
        <f t="shared" si="23"/>
        <v>-1471865.0216114447</v>
      </c>
      <c r="K28" s="77">
        <f t="shared" si="23"/>
        <v>-983129.45135479234</v>
      </c>
      <c r="L28" s="77">
        <f t="shared" si="23"/>
        <v>-270113.88098657038</v>
      </c>
      <c r="M28" s="77">
        <f t="shared" si="23"/>
        <v>0</v>
      </c>
      <c r="N28" s="77">
        <f t="shared" si="23"/>
        <v>0</v>
      </c>
      <c r="O28" s="77">
        <f t="shared" si="23"/>
        <v>0</v>
      </c>
      <c r="P28" s="77"/>
      <c r="Q28" s="56">
        <f>SUM(D28:F28)</f>
        <v>-2438843.7439916572</v>
      </c>
      <c r="R28" s="56">
        <f>SUM(G28:I28)</f>
        <v>539752.3003623113</v>
      </c>
      <c r="S28" s="56">
        <f>SUM(J28:L28)</f>
        <v>-2725108.3539528074</v>
      </c>
      <c r="T28" s="56">
        <f>SUM(M28:O28)</f>
        <v>0</v>
      </c>
      <c r="U28" s="61">
        <f>SUM(D28:O28)</f>
        <v>-4624199.7975821532</v>
      </c>
    </row>
    <row r="29" spans="1:23" ht="15" customHeight="1">
      <c r="A29" s="28"/>
      <c r="B29" s="13"/>
      <c r="C29" s="28"/>
      <c r="D29" s="77"/>
      <c r="E29" s="189"/>
      <c r="F29" s="77"/>
      <c r="G29" s="77"/>
      <c r="H29" s="77"/>
      <c r="I29" s="77"/>
      <c r="J29" s="77"/>
      <c r="K29" s="77"/>
      <c r="L29" s="77"/>
      <c r="M29" s="77"/>
      <c r="N29" s="77"/>
      <c r="O29" s="77"/>
      <c r="P29" s="77"/>
      <c r="Q29" s="56"/>
      <c r="R29" s="56"/>
      <c r="S29" s="56"/>
      <c r="T29" s="56"/>
      <c r="U29" s="61"/>
    </row>
    <row r="30" spans="1:23" ht="15" customHeight="1">
      <c r="A30" s="28"/>
      <c r="B30" s="71" t="s">
        <v>86</v>
      </c>
      <c r="C30" s="28"/>
      <c r="D30" s="77"/>
      <c r="E30" s="189"/>
      <c r="F30" s="77"/>
      <c r="G30" s="77"/>
      <c r="H30" s="77"/>
      <c r="I30" s="77"/>
      <c r="J30" s="77"/>
      <c r="K30" s="77"/>
      <c r="L30" s="77"/>
      <c r="M30" s="77"/>
      <c r="N30" s="77"/>
      <c r="O30" s="77"/>
      <c r="P30" s="77"/>
    </row>
    <row r="31" spans="1:23" ht="15" customHeight="1">
      <c r="A31" s="49">
        <v>16</v>
      </c>
      <c r="B31" s="13" t="s">
        <v>87</v>
      </c>
      <c r="C31" s="28" t="s">
        <v>71</v>
      </c>
      <c r="D31" s="72">
        <v>6197</v>
      </c>
      <c r="E31" s="184">
        <v>6341</v>
      </c>
      <c r="F31" s="72">
        <v>4346</v>
      </c>
      <c r="G31" s="72">
        <v>4586</v>
      </c>
      <c r="H31" s="72">
        <v>4796</v>
      </c>
      <c r="I31" s="72">
        <v>4947</v>
      </c>
      <c r="J31" s="72">
        <v>4982</v>
      </c>
      <c r="K31" s="72">
        <v>4598</v>
      </c>
      <c r="L31" s="72">
        <v>5165</v>
      </c>
      <c r="M31" s="72">
        <v>0</v>
      </c>
      <c r="N31" s="72">
        <v>0</v>
      </c>
      <c r="O31" s="72">
        <v>0</v>
      </c>
      <c r="P31" s="72"/>
      <c r="Q31" s="59">
        <f>SUM(D31:F31)</f>
        <v>16884</v>
      </c>
      <c r="R31" s="59">
        <f>SUM(G31:I31)</f>
        <v>14329</v>
      </c>
      <c r="S31" s="59">
        <f>SUM(J31:L31)</f>
        <v>14745</v>
      </c>
      <c r="T31" s="59">
        <f>SUM(M31:O31)</f>
        <v>0</v>
      </c>
      <c r="U31" s="60">
        <f>SUM(D31:O31)</f>
        <v>45958</v>
      </c>
    </row>
    <row r="32" spans="1:23" ht="15" customHeight="1">
      <c r="A32" s="28">
        <v>17</v>
      </c>
      <c r="B32" s="68" t="s">
        <v>77</v>
      </c>
      <c r="C32" s="74" t="s">
        <v>78</v>
      </c>
      <c r="D32" s="75">
        <v>33.965175626863299</v>
      </c>
      <c r="E32" s="188">
        <v>34.163429069706574</v>
      </c>
      <c r="F32" s="75">
        <v>28.289531432431243</v>
      </c>
      <c r="G32" s="75">
        <v>33.579371624886839</v>
      </c>
      <c r="H32" s="75">
        <v>47.499476971797883</v>
      </c>
      <c r="I32" s="75">
        <v>56.116461702089303</v>
      </c>
      <c r="J32" s="75">
        <v>53.860615903056697</v>
      </c>
      <c r="K32" s="75">
        <v>44.375165069776301</v>
      </c>
      <c r="L32" s="75">
        <v>42.756755204790331</v>
      </c>
      <c r="M32" s="75">
        <v>36.230379939156158</v>
      </c>
      <c r="N32" s="75">
        <v>33.003952196219643</v>
      </c>
      <c r="O32" s="75">
        <v>30.602935694120937</v>
      </c>
      <c r="P32" s="75"/>
      <c r="Q32" s="55">
        <f>Q33/Q31</f>
        <v>32.578701770672083</v>
      </c>
      <c r="R32" s="55">
        <f>R33/R31</f>
        <v>46.019305315703086</v>
      </c>
      <c r="S32" s="55">
        <f t="shared" ref="S32" si="24">S33/S31</f>
        <v>47.013173147005894</v>
      </c>
      <c r="T32" s="55" t="e">
        <f>T33/T31</f>
        <v>#DIV/0!</v>
      </c>
      <c r="U32" s="55">
        <f>U33/U31</f>
        <v>41.400380012562316</v>
      </c>
    </row>
    <row r="33" spans="1:28" ht="15" customHeight="1">
      <c r="A33" s="49">
        <v>18</v>
      </c>
      <c r="B33" s="13" t="s">
        <v>79</v>
      </c>
      <c r="C33" s="28" t="str">
        <f>"("&amp;A31&amp;") x ("&amp;A32&amp;")"</f>
        <v>(16) x (17)</v>
      </c>
      <c r="D33" s="77">
        <f t="shared" ref="D33:N33" si="25">D31*D32</f>
        <v>210482.19335967186</v>
      </c>
      <c r="E33" s="189">
        <f t="shared" si="25"/>
        <v>216630.30373100939</v>
      </c>
      <c r="F33" s="77">
        <f t="shared" si="25"/>
        <v>122946.30360534618</v>
      </c>
      <c r="G33" s="77">
        <f t="shared" si="25"/>
        <v>153994.99827173105</v>
      </c>
      <c r="H33" s="77">
        <f t="shared" si="25"/>
        <v>227807.49155674264</v>
      </c>
      <c r="I33" s="77">
        <f t="shared" si="25"/>
        <v>277608.13604023581</v>
      </c>
      <c r="J33" s="77">
        <f t="shared" si="25"/>
        <v>268333.58842902846</v>
      </c>
      <c r="K33" s="77">
        <f t="shared" si="25"/>
        <v>204037.00899083144</v>
      </c>
      <c r="L33" s="77">
        <f t="shared" si="25"/>
        <v>220838.64063274206</v>
      </c>
      <c r="M33" s="77">
        <f t="shared" si="25"/>
        <v>0</v>
      </c>
      <c r="N33" s="77">
        <f t="shared" si="25"/>
        <v>0</v>
      </c>
      <c r="O33" s="190">
        <f>O31*O32+0</f>
        <v>0</v>
      </c>
      <c r="P33" s="191"/>
      <c r="Q33" s="56">
        <f>SUM(D33:F33)</f>
        <v>550058.80069602747</v>
      </c>
      <c r="R33" s="56">
        <f>SUM(G33:I33)</f>
        <v>659410.62586870953</v>
      </c>
      <c r="S33" s="56">
        <f>SUM(J33:L33)</f>
        <v>693209.23805260193</v>
      </c>
      <c r="T33" s="56">
        <f>SUM(M33:O33)</f>
        <v>0</v>
      </c>
      <c r="U33" s="61">
        <f>SUM(D33:O33)</f>
        <v>1902678.6646173389</v>
      </c>
    </row>
    <row r="34" spans="1:28" ht="15" customHeight="1">
      <c r="A34" s="28"/>
      <c r="B34" s="13"/>
      <c r="C34" s="28"/>
      <c r="D34" s="78"/>
      <c r="E34" s="192"/>
      <c r="F34" s="78"/>
      <c r="G34" s="78"/>
      <c r="H34" s="78"/>
      <c r="I34" s="78"/>
      <c r="J34" s="78"/>
      <c r="K34" s="78"/>
      <c r="L34" s="78"/>
      <c r="M34" s="78"/>
      <c r="N34" s="78"/>
      <c r="O34" s="78"/>
      <c r="P34" s="78"/>
      <c r="Q34" s="56"/>
      <c r="R34" s="56"/>
      <c r="S34" s="56"/>
      <c r="T34" s="56"/>
      <c r="U34" s="61"/>
    </row>
    <row r="35" spans="1:28" ht="15" customHeight="1">
      <c r="A35" s="49">
        <v>19</v>
      </c>
      <c r="B35" s="13" t="s">
        <v>30</v>
      </c>
      <c r="C35" s="28" t="s">
        <v>71</v>
      </c>
      <c r="D35" s="185">
        <v>410280.53</v>
      </c>
      <c r="E35" s="186">
        <v>399422.42</v>
      </c>
      <c r="F35" s="185">
        <v>191309.78</v>
      </c>
      <c r="G35" s="185">
        <v>215565.79</v>
      </c>
      <c r="H35" s="185">
        <v>301346.56</v>
      </c>
      <c r="I35" s="185">
        <v>416002.41</v>
      </c>
      <c r="J35" s="185">
        <v>522125.39</v>
      </c>
      <c r="K35" s="185">
        <v>428825.64</v>
      </c>
      <c r="L35" s="185">
        <v>418515.99</v>
      </c>
      <c r="M35" s="185">
        <v>0</v>
      </c>
      <c r="N35" s="185">
        <v>0</v>
      </c>
      <c r="O35" s="185">
        <v>0</v>
      </c>
      <c r="P35" s="185"/>
      <c r="Q35" s="56">
        <f>SUM(D35:F35)</f>
        <v>1001012.73</v>
      </c>
      <c r="R35" s="56">
        <f>SUM(G35:I35)</f>
        <v>932914.76</v>
      </c>
      <c r="S35" s="56">
        <f>SUM(J35:L35)</f>
        <v>1369467.02</v>
      </c>
      <c r="T35" s="56">
        <f>SUM(M35:O35)</f>
        <v>0</v>
      </c>
      <c r="U35" s="61">
        <f>SUM(D35:O35)</f>
        <v>3303394.51</v>
      </c>
    </row>
    <row r="36" spans="1:28" ht="15" customHeight="1">
      <c r="A36" s="28">
        <v>20</v>
      </c>
      <c r="B36" s="13" t="s">
        <v>20</v>
      </c>
      <c r="C36" s="28" t="s">
        <v>71</v>
      </c>
      <c r="D36" s="185">
        <v>35305.599999999999</v>
      </c>
      <c r="E36" s="186">
        <v>36045.599999999999</v>
      </c>
      <c r="F36" s="185">
        <v>24748.799999999999</v>
      </c>
      <c r="G36" s="185">
        <v>26177.200000000001</v>
      </c>
      <c r="H36" s="185">
        <v>27222.6</v>
      </c>
      <c r="I36" s="185">
        <v>28597</v>
      </c>
      <c r="J36" s="185">
        <v>29063.4</v>
      </c>
      <c r="K36" s="185">
        <v>26577</v>
      </c>
      <c r="L36" s="185">
        <v>29801.4</v>
      </c>
      <c r="M36" s="185">
        <v>0</v>
      </c>
      <c r="N36" s="185">
        <v>0</v>
      </c>
      <c r="O36" s="185">
        <v>0</v>
      </c>
      <c r="P36" s="185"/>
      <c r="Q36" s="56">
        <f>SUM(D36:F36)</f>
        <v>96100</v>
      </c>
      <c r="R36" s="56">
        <f>SUM(G36:I36)</f>
        <v>81996.800000000003</v>
      </c>
      <c r="S36" s="56">
        <f>SUM(J36:L36)</f>
        <v>85441.8</v>
      </c>
      <c r="T36" s="56">
        <f>SUM(M36:O36)</f>
        <v>0</v>
      </c>
      <c r="U36" s="61">
        <f>SUM(D36:O36)</f>
        <v>263538.59999999998</v>
      </c>
    </row>
    <row r="37" spans="1:28" ht="15" customHeight="1">
      <c r="A37" s="49">
        <v>21</v>
      </c>
      <c r="B37" s="2" t="s">
        <v>80</v>
      </c>
      <c r="C37" s="28" t="s">
        <v>71</v>
      </c>
      <c r="D37" s="72">
        <v>4207373.4390000002</v>
      </c>
      <c r="E37" s="184">
        <v>4092292.0819999999</v>
      </c>
      <c r="F37" s="72">
        <v>1857203.6740000001</v>
      </c>
      <c r="G37" s="72">
        <v>2059327.7790000001</v>
      </c>
      <c r="H37" s="72">
        <v>2931748.5610000002</v>
      </c>
      <c r="I37" s="72">
        <v>4086878.6949999998</v>
      </c>
      <c r="J37" s="72">
        <v>5155546.6459999997</v>
      </c>
      <c r="K37" s="72">
        <v>4222451.0360000003</v>
      </c>
      <c r="L37" s="72">
        <v>4110353.68</v>
      </c>
      <c r="M37" s="72">
        <v>0</v>
      </c>
      <c r="N37" s="72">
        <v>0</v>
      </c>
      <c r="O37" s="72">
        <v>0</v>
      </c>
      <c r="P37" s="72"/>
      <c r="Q37" s="121">
        <f>SUM(D37:F37)</f>
        <v>10156869.195</v>
      </c>
      <c r="R37" s="121">
        <f>SUM(G37:I37)</f>
        <v>9077955.0350000001</v>
      </c>
      <c r="S37" s="121">
        <f>SUM(J37:L37)</f>
        <v>13488351.362</v>
      </c>
      <c r="T37" s="56">
        <f>SUM(M37:O37)</f>
        <v>0</v>
      </c>
      <c r="U37" s="61">
        <f>SUM(D37:O37)</f>
        <v>32723175.592</v>
      </c>
    </row>
    <row r="38" spans="1:28" ht="15" customHeight="1">
      <c r="A38" s="28">
        <v>22</v>
      </c>
      <c r="B38" s="13" t="s">
        <v>81</v>
      </c>
      <c r="C38" s="28" t="s">
        <v>82</v>
      </c>
      <c r="D38" s="79">
        <f>D24</f>
        <v>2.2120000000000001E-2</v>
      </c>
      <c r="E38" s="194">
        <f t="shared" ref="E38:H38" si="26">D38</f>
        <v>2.2120000000000001E-2</v>
      </c>
      <c r="F38" s="79">
        <f>F24</f>
        <v>2.5000000000000001E-2</v>
      </c>
      <c r="G38" s="79">
        <f t="shared" si="26"/>
        <v>2.5000000000000001E-2</v>
      </c>
      <c r="H38" s="79">
        <f t="shared" si="26"/>
        <v>2.5000000000000001E-2</v>
      </c>
      <c r="I38" s="79">
        <f>I24</f>
        <v>2.5000000000000001E-2</v>
      </c>
      <c r="J38" s="79">
        <f t="shared" ref="J38:O38" si="27">J24</f>
        <v>2.5000000000000001E-2</v>
      </c>
      <c r="K38" s="79">
        <f t="shared" si="27"/>
        <v>2.5000000000000001E-2</v>
      </c>
      <c r="L38" s="79">
        <f t="shared" si="27"/>
        <v>2.5000000000000001E-2</v>
      </c>
      <c r="M38" s="79">
        <f t="shared" si="27"/>
        <v>2.5000000000000001E-2</v>
      </c>
      <c r="N38" s="79">
        <f t="shared" si="27"/>
        <v>2.5000000000000001E-2</v>
      </c>
      <c r="O38" s="79">
        <f t="shared" si="27"/>
        <v>2.5000000000000001E-2</v>
      </c>
      <c r="P38" s="79"/>
      <c r="Q38" s="79">
        <f t="shared" ref="Q38:U38" si="28">Q39/Q37</f>
        <v>2.264661371121655E-2</v>
      </c>
      <c r="R38" s="79">
        <f t="shared" si="28"/>
        <v>2.5000000000000001E-2</v>
      </c>
      <c r="S38" s="79">
        <f t="shared" si="28"/>
        <v>2.5000000000000001E-2</v>
      </c>
      <c r="T38" s="79" t="e">
        <f t="shared" si="28"/>
        <v>#DIV/0!</v>
      </c>
      <c r="U38" s="137">
        <f t="shared" si="28"/>
        <v>2.4269537987434094E-2</v>
      </c>
    </row>
    <row r="39" spans="1:28" ht="15" customHeight="1">
      <c r="A39" s="49">
        <v>23</v>
      </c>
      <c r="B39" s="13" t="s">
        <v>83</v>
      </c>
      <c r="C39" s="28" t="str">
        <f>"("&amp;A37&amp;") x ("&amp;A38&amp;")"</f>
        <v>(21) x (22)</v>
      </c>
      <c r="D39" s="77">
        <f t="shared" ref="D39:O39" si="29">D37*D38</f>
        <v>93067.100470680016</v>
      </c>
      <c r="E39" s="189">
        <f t="shared" si="29"/>
        <v>90521.50085384</v>
      </c>
      <c r="F39" s="77">
        <f t="shared" si="29"/>
        <v>46430.091850000004</v>
      </c>
      <c r="G39" s="77">
        <f t="shared" si="29"/>
        <v>51483.194475000004</v>
      </c>
      <c r="H39" s="77">
        <f t="shared" si="29"/>
        <v>73293.714025000008</v>
      </c>
      <c r="I39" s="77">
        <f t="shared" si="29"/>
        <v>102171.96737500001</v>
      </c>
      <c r="J39" s="77">
        <f t="shared" si="29"/>
        <v>128888.66615</v>
      </c>
      <c r="K39" s="77">
        <f t="shared" si="29"/>
        <v>105561.27590000001</v>
      </c>
      <c r="L39" s="77">
        <f t="shared" si="29"/>
        <v>102758.842</v>
      </c>
      <c r="M39" s="77">
        <f t="shared" si="29"/>
        <v>0</v>
      </c>
      <c r="N39" s="77">
        <f t="shared" si="29"/>
        <v>0</v>
      </c>
      <c r="O39" s="77">
        <f t="shared" si="29"/>
        <v>0</v>
      </c>
      <c r="P39" s="77"/>
      <c r="Q39" s="56">
        <f>SUM(D39:F39)</f>
        <v>230018.69317452001</v>
      </c>
      <c r="R39" s="77">
        <f>SUM(G39:I39)</f>
        <v>226948.87587500003</v>
      </c>
      <c r="S39" s="77">
        <f>SUM(J39:L39)</f>
        <v>337208.78405000002</v>
      </c>
      <c r="T39" s="77">
        <f>SUM(M39:O39)</f>
        <v>0</v>
      </c>
      <c r="U39" s="122">
        <f>SUM(D39:O39)</f>
        <v>794176.35309952009</v>
      </c>
    </row>
    <row r="40" spans="1:28" ht="15" customHeight="1">
      <c r="A40" s="28">
        <v>24</v>
      </c>
      <c r="B40" s="81" t="s">
        <v>88</v>
      </c>
      <c r="C40" s="28" t="s">
        <v>89</v>
      </c>
      <c r="D40" s="193">
        <v>2.511E-2</v>
      </c>
      <c r="E40" s="194">
        <f t="shared" ref="E40:O40" si="30">D40</f>
        <v>2.511E-2</v>
      </c>
      <c r="F40" s="193">
        <v>2.445E-2</v>
      </c>
      <c r="G40" s="79">
        <f t="shared" si="30"/>
        <v>2.445E-2</v>
      </c>
      <c r="H40" s="79">
        <f t="shared" si="30"/>
        <v>2.445E-2</v>
      </c>
      <c r="I40" s="79">
        <f t="shared" si="30"/>
        <v>2.445E-2</v>
      </c>
      <c r="J40" s="79">
        <f t="shared" si="30"/>
        <v>2.445E-2</v>
      </c>
      <c r="K40" s="79">
        <f t="shared" si="30"/>
        <v>2.445E-2</v>
      </c>
      <c r="L40" s="79">
        <f t="shared" si="30"/>
        <v>2.445E-2</v>
      </c>
      <c r="M40" s="79">
        <f t="shared" si="30"/>
        <v>2.445E-2</v>
      </c>
      <c r="N40" s="79">
        <f t="shared" si="30"/>
        <v>2.445E-2</v>
      </c>
      <c r="O40" s="79">
        <f t="shared" si="30"/>
        <v>2.445E-2</v>
      </c>
      <c r="P40" s="79"/>
      <c r="Q40" s="79">
        <f t="shared" ref="Q40:U40" si="31">Q41/Q37</f>
        <v>2.4989317691179538E-2</v>
      </c>
      <c r="R40" s="79">
        <f t="shared" si="31"/>
        <v>2.445E-2</v>
      </c>
      <c r="S40" s="79">
        <f t="shared" si="31"/>
        <v>2.445E-2</v>
      </c>
      <c r="T40" s="79" t="e">
        <f t="shared" si="31"/>
        <v>#DIV/0!</v>
      </c>
      <c r="U40" s="79">
        <f t="shared" si="31"/>
        <v>2.4617397544546352E-2</v>
      </c>
    </row>
    <row r="41" spans="1:28" ht="15" customHeight="1">
      <c r="A41" s="49">
        <v>25</v>
      </c>
      <c r="B41" s="81" t="s">
        <v>90</v>
      </c>
      <c r="C41" s="28" t="str">
        <f>"("&amp;A39&amp;") x ("&amp;A40&amp;")"</f>
        <v>(23) x (24)</v>
      </c>
      <c r="D41" s="77">
        <f t="shared" ref="D41:O41" si="32">D37*D40</f>
        <v>105647.14705329001</v>
      </c>
      <c r="E41" s="189">
        <f t="shared" si="32"/>
        <v>102757.45417902</v>
      </c>
      <c r="F41" s="77">
        <f t="shared" si="32"/>
        <v>45408.6298293</v>
      </c>
      <c r="G41" s="77">
        <f t="shared" si="32"/>
        <v>50350.564196550004</v>
      </c>
      <c r="H41" s="77">
        <f t="shared" si="32"/>
        <v>71681.252316450002</v>
      </c>
      <c r="I41" s="77">
        <f t="shared" si="32"/>
        <v>99924.184092749987</v>
      </c>
      <c r="J41" s="77">
        <f t="shared" si="32"/>
        <v>126053.11549469999</v>
      </c>
      <c r="K41" s="77">
        <f t="shared" si="32"/>
        <v>103238.9278302</v>
      </c>
      <c r="L41" s="77">
        <f t="shared" si="32"/>
        <v>100498.147476</v>
      </c>
      <c r="M41" s="77">
        <f t="shared" si="32"/>
        <v>0</v>
      </c>
      <c r="N41" s="77">
        <f t="shared" si="32"/>
        <v>0</v>
      </c>
      <c r="O41" s="77">
        <f t="shared" si="32"/>
        <v>0</v>
      </c>
      <c r="P41" s="77"/>
      <c r="Q41" s="56">
        <f>SUM(D41:F41)</f>
        <v>253813.23106160999</v>
      </c>
      <c r="R41" s="121">
        <f>SUM(G41:I41)</f>
        <v>221956.00060574998</v>
      </c>
      <c r="S41" s="121">
        <f>SUM(J41:L41)</f>
        <v>329790.19080089999</v>
      </c>
      <c r="T41" s="121">
        <f>SUM(M41:O41)</f>
        <v>0</v>
      </c>
      <c r="U41" s="61">
        <f>SUM(D41:O41)</f>
        <v>805559.42246825993</v>
      </c>
    </row>
    <row r="42" spans="1:28" ht="15" customHeight="1">
      <c r="A42" s="28">
        <v>26</v>
      </c>
      <c r="B42" s="13" t="s">
        <v>84</v>
      </c>
      <c r="C42" s="28" t="str">
        <f>"("&amp;A35&amp;") - ("&amp;A36&amp;") - ("&amp;A39&amp;") - ("&amp;A41&amp;")"</f>
        <v>(19) - (20) - (23) - (25)</v>
      </c>
      <c r="D42" s="77">
        <f t="shared" ref="D42:O42" si="33">D35-D36-D39-D41</f>
        <v>176260.68247602999</v>
      </c>
      <c r="E42" s="189">
        <f t="shared" si="33"/>
        <v>170097.86496714002</v>
      </c>
      <c r="F42" s="77">
        <f t="shared" si="33"/>
        <v>74722.258320700013</v>
      </c>
      <c r="G42" s="77">
        <f t="shared" si="33"/>
        <v>87554.831328450004</v>
      </c>
      <c r="H42" s="77">
        <f t="shared" si="33"/>
        <v>129148.99365855003</v>
      </c>
      <c r="I42" s="77">
        <f t="shared" si="33"/>
        <v>185309.25853224998</v>
      </c>
      <c r="J42" s="77">
        <f t="shared" si="33"/>
        <v>238120.20835530001</v>
      </c>
      <c r="K42" s="77">
        <f t="shared" si="33"/>
        <v>193448.4362698</v>
      </c>
      <c r="L42" s="77">
        <f t="shared" si="33"/>
        <v>185457.60052399995</v>
      </c>
      <c r="M42" s="77">
        <f t="shared" si="33"/>
        <v>0</v>
      </c>
      <c r="N42" s="77">
        <f t="shared" si="33"/>
        <v>0</v>
      </c>
      <c r="O42" s="77">
        <f t="shared" si="33"/>
        <v>0</v>
      </c>
      <c r="P42" s="77"/>
      <c r="Q42" s="56">
        <f>SUM(D42:F42)</f>
        <v>421080.80576387001</v>
      </c>
      <c r="R42" s="56">
        <f>SUM(G42:I42)</f>
        <v>402013.08351925004</v>
      </c>
      <c r="S42" s="56">
        <f>SUM(J42:L42)</f>
        <v>617026.24514909997</v>
      </c>
      <c r="T42" s="56">
        <f>SUM(M42:O42)</f>
        <v>0</v>
      </c>
      <c r="U42" s="61">
        <f>SUM(D42:O42)</f>
        <v>1440120.1344322199</v>
      </c>
    </row>
    <row r="43" spans="1:28" ht="15" customHeight="1">
      <c r="A43" s="49">
        <v>27</v>
      </c>
      <c r="B43" s="3" t="s">
        <v>21</v>
      </c>
      <c r="C43" s="28"/>
      <c r="D43" s="80">
        <f t="shared" ref="D43:O43" si="34">D42/D31</f>
        <v>28.442905030826203</v>
      </c>
      <c r="E43" s="195">
        <f t="shared" si="34"/>
        <v>26.825085154887244</v>
      </c>
      <c r="F43" s="80">
        <f t="shared" si="34"/>
        <v>17.193340616820066</v>
      </c>
      <c r="G43" s="80">
        <f t="shared" si="34"/>
        <v>19.091764354219364</v>
      </c>
      <c r="H43" s="80">
        <f t="shared" si="34"/>
        <v>26.928480746153049</v>
      </c>
      <c r="I43" s="80">
        <f t="shared" si="34"/>
        <v>37.458916218364664</v>
      </c>
      <c r="J43" s="80">
        <f t="shared" si="34"/>
        <v>47.796107658631072</v>
      </c>
      <c r="K43" s="80">
        <f t="shared" si="34"/>
        <v>42.072300189169205</v>
      </c>
      <c r="L43" s="80">
        <f t="shared" si="34"/>
        <v>35.906602231171334</v>
      </c>
      <c r="M43" s="80" t="e">
        <f t="shared" si="34"/>
        <v>#DIV/0!</v>
      </c>
      <c r="N43" s="80" t="e">
        <f t="shared" si="34"/>
        <v>#DIV/0!</v>
      </c>
      <c r="O43" s="80" t="e">
        <f t="shared" si="34"/>
        <v>#DIV/0!</v>
      </c>
      <c r="P43" s="80"/>
      <c r="Q43" s="63">
        <f>Q42/Q31</f>
        <v>24.939635498926204</v>
      </c>
      <c r="R43" s="63">
        <f t="shared" ref="R43" si="35">R42/R31</f>
        <v>28.055906449804596</v>
      </c>
      <c r="S43" s="63">
        <f>S42/S31</f>
        <v>41.846473051820951</v>
      </c>
      <c r="T43" s="63" t="e">
        <f t="shared" ref="T43" si="36">T42/T31</f>
        <v>#DIV/0!</v>
      </c>
      <c r="U43" s="63">
        <f t="shared" ref="U43" si="37">U42/U31</f>
        <v>31.335570182171111</v>
      </c>
    </row>
    <row r="44" spans="1:28" ht="15" customHeight="1">
      <c r="A44" s="28">
        <v>28</v>
      </c>
      <c r="B44" s="13" t="s">
        <v>91</v>
      </c>
      <c r="C44" s="28" t="str">
        <f>"("&amp;A$19&amp;") - ("&amp;A42&amp;")"</f>
        <v>(7) - (26)</v>
      </c>
      <c r="D44" s="77">
        <f t="shared" ref="D44:O44" si="38">D33-D42</f>
        <v>34221.510883641866</v>
      </c>
      <c r="E44" s="189">
        <f t="shared" si="38"/>
        <v>46532.438763869373</v>
      </c>
      <c r="F44" s="77">
        <f t="shared" si="38"/>
        <v>48224.04528464617</v>
      </c>
      <c r="G44" s="77">
        <f t="shared" si="38"/>
        <v>66440.166943281045</v>
      </c>
      <c r="H44" s="77">
        <f t="shared" si="38"/>
        <v>98658.497898192611</v>
      </c>
      <c r="I44" s="77">
        <f t="shared" si="38"/>
        <v>92298.877507985831</v>
      </c>
      <c r="J44" s="77">
        <f t="shared" si="38"/>
        <v>30213.380073728447</v>
      </c>
      <c r="K44" s="77">
        <f t="shared" si="38"/>
        <v>10588.572721031436</v>
      </c>
      <c r="L44" s="77">
        <f t="shared" si="38"/>
        <v>35381.040108742105</v>
      </c>
      <c r="M44" s="77">
        <f t="shared" si="38"/>
        <v>0</v>
      </c>
      <c r="N44" s="77">
        <f t="shared" si="38"/>
        <v>0</v>
      </c>
      <c r="O44" s="77">
        <f t="shared" si="38"/>
        <v>0</v>
      </c>
      <c r="P44" s="77"/>
      <c r="Q44" s="56">
        <f>SUM(D44:F44)</f>
        <v>128977.99493215741</v>
      </c>
      <c r="R44" s="56">
        <f>SUM(G44:I44)</f>
        <v>257397.54234945949</v>
      </c>
      <c r="S44" s="56">
        <f>SUM(J44:L44)</f>
        <v>76182.992903501989</v>
      </c>
      <c r="T44" s="56">
        <f>SUM(M44:O44)</f>
        <v>0</v>
      </c>
      <c r="U44" s="61">
        <f>SUM(D44:O44)</f>
        <v>462558.5301851189</v>
      </c>
    </row>
    <row r="45" spans="1:28" ht="15" customHeight="1">
      <c r="A45" s="49"/>
      <c r="B45" s="13"/>
      <c r="C45" s="28"/>
      <c r="D45" s="77"/>
      <c r="E45" s="189"/>
      <c r="F45" s="77"/>
      <c r="G45" s="77"/>
      <c r="H45" s="77"/>
      <c r="I45" s="77"/>
      <c r="J45" s="77"/>
      <c r="K45" s="77"/>
      <c r="L45" s="77"/>
      <c r="M45" s="77"/>
      <c r="N45" s="77"/>
      <c r="O45" s="77"/>
      <c r="P45" s="77"/>
    </row>
    <row r="46" spans="1:28" ht="15" customHeight="1">
      <c r="A46" s="82">
        <v>29</v>
      </c>
      <c r="B46" s="83" t="s">
        <v>92</v>
      </c>
      <c r="C46" s="82" t="str">
        <f>"("&amp;A$28&amp;") + ("&amp;A44&amp;")"</f>
        <v>(15) + (28)</v>
      </c>
      <c r="D46" s="84">
        <f t="shared" ref="D46:O46" si="39">D28+D44</f>
        <v>-1969423.3580170735</v>
      </c>
      <c r="E46" s="196">
        <f t="shared" si="39"/>
        <v>-541523.57169860287</v>
      </c>
      <c r="F46" s="84">
        <f t="shared" si="39"/>
        <v>201081.18065617658</v>
      </c>
      <c r="G46" s="84">
        <f t="shared" si="39"/>
        <v>12882.376285363076</v>
      </c>
      <c r="H46" s="84">
        <f t="shared" si="39"/>
        <v>832616.25667920196</v>
      </c>
      <c r="I46" s="84">
        <f t="shared" si="39"/>
        <v>-48348.79025279425</v>
      </c>
      <c r="J46" s="84">
        <f t="shared" si="39"/>
        <v>-1441651.6415377161</v>
      </c>
      <c r="K46" s="84">
        <f t="shared" si="39"/>
        <v>-972540.87863376085</v>
      </c>
      <c r="L46" s="84">
        <f t="shared" si="39"/>
        <v>-234732.84087782828</v>
      </c>
      <c r="M46" s="84">
        <f t="shared" si="39"/>
        <v>0</v>
      </c>
      <c r="N46" s="84">
        <f t="shared" si="39"/>
        <v>0</v>
      </c>
      <c r="O46" s="84">
        <f t="shared" si="39"/>
        <v>0</v>
      </c>
      <c r="P46" s="84"/>
      <c r="Q46" s="84">
        <f>SUM(D46:F46)</f>
        <v>-2309865.7490594997</v>
      </c>
      <c r="R46" s="84">
        <f>SUM(G46:I46)</f>
        <v>797149.84271177079</v>
      </c>
      <c r="S46" s="84">
        <f>SUM(J46:L46)</f>
        <v>-2648925.3610493052</v>
      </c>
      <c r="T46" s="84">
        <f>SUM(M46:O46)</f>
        <v>0</v>
      </c>
      <c r="U46" s="84">
        <f>SUM(D46:O46)</f>
        <v>-4161641.267397034</v>
      </c>
      <c r="W46" s="108"/>
      <c r="X46" s="108"/>
      <c r="Y46" s="108"/>
      <c r="Z46" s="108"/>
      <c r="AA46" s="108"/>
      <c r="AB46" s="108"/>
    </row>
    <row r="47" spans="1:28" ht="15" customHeight="1">
      <c r="A47" s="85">
        <v>30</v>
      </c>
      <c r="B47" s="83" t="s">
        <v>22</v>
      </c>
      <c r="C47" s="86" t="s">
        <v>23</v>
      </c>
      <c r="D47" s="84">
        <f>D46*-D$106</f>
        <v>10735.326724551067</v>
      </c>
      <c r="E47" s="196">
        <f>E46*-E$106</f>
        <v>2951.8449893290845</v>
      </c>
      <c r="F47" s="84">
        <f>F46*-F$106</f>
        <v>-875.50746057699291</v>
      </c>
      <c r="G47" s="84">
        <f>G46*-G$106</f>
        <v>-56.089866346470835</v>
      </c>
      <c r="H47" s="84">
        <f t="shared" ref="H47" si="40">H46*-H$106</f>
        <v>-3625.2111815812455</v>
      </c>
      <c r="I47" s="84">
        <f t="shared" ref="I47" si="41">I46*-I$106</f>
        <v>210.51063276066617</v>
      </c>
      <c r="J47" s="84">
        <f t="shared" ref="J47" si="42">J46*-J$106</f>
        <v>6276.951247255216</v>
      </c>
      <c r="K47" s="84">
        <f t="shared" ref="K47" si="43">K46*-K$106</f>
        <v>4234.4429855713952</v>
      </c>
      <c r="L47" s="84">
        <f t="shared" ref="L47" si="44">L46*-L$106</f>
        <v>1022.0267891820644</v>
      </c>
      <c r="M47" s="84">
        <f t="shared" ref="M47" si="45">M46*-M$106</f>
        <v>0</v>
      </c>
      <c r="N47" s="84">
        <f t="shared" ref="N47" si="46">N46*-N$106</f>
        <v>0</v>
      </c>
      <c r="O47" s="84">
        <f t="shared" ref="O47" si="47">O46*-O$106</f>
        <v>0</v>
      </c>
      <c r="P47" s="84"/>
      <c r="Q47" s="84">
        <f>SUM(D47:F47)</f>
        <v>12811.664253303157</v>
      </c>
      <c r="R47" s="84">
        <f>SUM(G47:I47)</f>
        <v>-3470.79041516705</v>
      </c>
      <c r="S47" s="84">
        <f>SUM(J47:L47)</f>
        <v>11533.421022008675</v>
      </c>
      <c r="T47" s="84">
        <f>SUM(M47:O47)</f>
        <v>0</v>
      </c>
      <c r="U47" s="84">
        <f>SUM(D47:O47)</f>
        <v>20874.294860144782</v>
      </c>
      <c r="Y47" s="108"/>
      <c r="Z47" s="108"/>
      <c r="AA47" s="108"/>
    </row>
    <row r="48" spans="1:28" ht="15" customHeight="1">
      <c r="A48" s="28">
        <v>31</v>
      </c>
      <c r="B48" s="13"/>
      <c r="C48" s="3" t="s">
        <v>93</v>
      </c>
      <c r="D48" s="197">
        <v>0.01</v>
      </c>
      <c r="E48" s="198">
        <f>D48</f>
        <v>0.01</v>
      </c>
      <c r="F48" s="87">
        <f>E48</f>
        <v>0.01</v>
      </c>
      <c r="G48" s="87">
        <f t="shared" ref="G48:I48" si="48">F48</f>
        <v>0.01</v>
      </c>
      <c r="H48" s="87">
        <f t="shared" si="48"/>
        <v>0.01</v>
      </c>
      <c r="I48" s="87">
        <f t="shared" si="48"/>
        <v>0.01</v>
      </c>
      <c r="J48" s="197">
        <v>0.01</v>
      </c>
      <c r="K48" s="87">
        <f t="shared" ref="K48:O48" si="49">J48</f>
        <v>0.01</v>
      </c>
      <c r="L48" s="87">
        <f t="shared" si="49"/>
        <v>0.01</v>
      </c>
      <c r="M48" s="87">
        <v>0</v>
      </c>
      <c r="N48" s="87">
        <f t="shared" si="49"/>
        <v>0</v>
      </c>
      <c r="O48" s="87">
        <f t="shared" si="49"/>
        <v>0</v>
      </c>
      <c r="P48" s="87"/>
    </row>
    <row r="49" spans="1:21" ht="15" customHeight="1">
      <c r="A49" s="85">
        <v>32</v>
      </c>
      <c r="B49" s="83" t="s">
        <v>24</v>
      </c>
      <c r="C49" s="83" t="s">
        <v>28</v>
      </c>
      <c r="D49" s="199">
        <f>(0+(D46+D47)/2)*D48/12</f>
        <v>-816.12001303855095</v>
      </c>
      <c r="E49" s="200">
        <f t="shared" ref="E49:O49" si="50">(D52+(E46+E47)/2)*E48/12</f>
        <v>-1857.3250122168317</v>
      </c>
      <c r="F49" s="88">
        <f t="shared" si="50"/>
        <v>-1999.8586386910431</v>
      </c>
      <c r="G49" s="88">
        <f t="shared" si="50"/>
        <v>-1912.7618710505292</v>
      </c>
      <c r="H49" s="88">
        <f>(G52+(H46+H47)/2)*H48/12</f>
        <v>-1563.5986176444728</v>
      </c>
      <c r="I49" s="88">
        <f t="shared" si="50"/>
        <v>-1239.5462973768483</v>
      </c>
      <c r="J49" s="88">
        <f t="shared" si="50"/>
        <v>-1858.7096567540354</v>
      </c>
      <c r="K49" s="88">
        <f t="shared" si="50"/>
        <v>-2861.7923839424348</v>
      </c>
      <c r="L49" s="88">
        <f t="shared" si="50"/>
        <v>-3365.0177316527347</v>
      </c>
      <c r="M49" s="88">
        <f t="shared" si="50"/>
        <v>0</v>
      </c>
      <c r="N49" s="88">
        <f t="shared" si="50"/>
        <v>0</v>
      </c>
      <c r="O49" s="88">
        <f t="shared" si="50"/>
        <v>0</v>
      </c>
      <c r="P49" s="88"/>
      <c r="Q49" s="88">
        <f>SUM(D49:F49)</f>
        <v>-4673.3036639464253</v>
      </c>
      <c r="R49" s="88">
        <f>SUM(G49:I49)</f>
        <v>-4715.9067860718505</v>
      </c>
      <c r="S49" s="88">
        <f>SUM(J49:L49)</f>
        <v>-8085.5197723492056</v>
      </c>
      <c r="T49" s="88">
        <f>SUM(M49:O49)</f>
        <v>0</v>
      </c>
      <c r="U49" s="88">
        <f>SUM(D49:O49)</f>
        <v>-17474.730222367481</v>
      </c>
    </row>
    <row r="50" spans="1:21" ht="15" customHeight="1">
      <c r="A50" s="89">
        <v>33</v>
      </c>
      <c r="B50" s="90" t="s">
        <v>25</v>
      </c>
      <c r="C50" s="91"/>
      <c r="D50" s="92">
        <f t="shared" ref="D50:O50" si="51">D46+D47+D49</f>
        <v>-1959504.151305561</v>
      </c>
      <c r="E50" s="201">
        <f t="shared" si="51"/>
        <v>-540429.05172149057</v>
      </c>
      <c r="F50" s="92">
        <f t="shared" si="51"/>
        <v>198205.81455690853</v>
      </c>
      <c r="G50" s="92">
        <f t="shared" si="51"/>
        <v>10913.524547966077</v>
      </c>
      <c r="H50" s="92">
        <f t="shared" si="51"/>
        <v>827427.4468799762</v>
      </c>
      <c r="I50" s="92">
        <f t="shared" si="51"/>
        <v>-49377.825917410439</v>
      </c>
      <c r="J50" s="92">
        <f t="shared" si="51"/>
        <v>-1437233.3999472149</v>
      </c>
      <c r="K50" s="92">
        <f t="shared" si="51"/>
        <v>-971168.22803213191</v>
      </c>
      <c r="L50" s="92">
        <f t="shared" si="51"/>
        <v>-237075.83182029895</v>
      </c>
      <c r="M50" s="92">
        <f t="shared" si="51"/>
        <v>0</v>
      </c>
      <c r="N50" s="92">
        <f t="shared" si="51"/>
        <v>0</v>
      </c>
      <c r="O50" s="92">
        <f t="shared" si="51"/>
        <v>0</v>
      </c>
      <c r="P50" s="92"/>
      <c r="Q50" s="92">
        <f t="shared" ref="Q50" si="52">Q46+Q47+Q49</f>
        <v>-2301727.3884701426</v>
      </c>
      <c r="R50" s="92">
        <f>R46+R47+R49</f>
        <v>788963.14551053196</v>
      </c>
      <c r="S50" s="92">
        <f>S46+S47+S49</f>
        <v>-2645477.4597996459</v>
      </c>
      <c r="T50" s="92">
        <f>T46+T47+T49</f>
        <v>0</v>
      </c>
      <c r="U50" s="92">
        <f>U46+U47+U49</f>
        <v>-4158241.7027592571</v>
      </c>
    </row>
    <row r="51" spans="1:21" ht="15" customHeight="1">
      <c r="A51" s="49"/>
      <c r="B51" s="13"/>
      <c r="C51" s="28"/>
      <c r="D51" s="78"/>
      <c r="E51" s="192"/>
      <c r="F51" s="78"/>
      <c r="G51" s="78"/>
      <c r="H51" s="78"/>
      <c r="I51" s="78"/>
      <c r="J51" s="78"/>
      <c r="K51" s="78"/>
      <c r="L51" s="78"/>
      <c r="M51" s="78"/>
      <c r="N51" s="78"/>
      <c r="O51" s="78"/>
      <c r="P51" s="78"/>
      <c r="S51" s="108"/>
    </row>
    <row r="52" spans="1:21" ht="15" customHeight="1">
      <c r="A52" s="28">
        <v>34</v>
      </c>
      <c r="B52" s="13" t="s">
        <v>94</v>
      </c>
      <c r="C52" s="28" t="str">
        <f>"Σ(("&amp;A$46&amp;"), ("&amp;A47&amp;"), ("&amp;A49&amp;"))"</f>
        <v>Σ((29), (30), (32))</v>
      </c>
      <c r="D52" s="202">
        <f>0+D46+D47+D49</f>
        <v>-1959504.151305561</v>
      </c>
      <c r="E52" s="189">
        <f t="shared" ref="E52:O52" si="53">D52+E46+E47+E49</f>
        <v>-2499933.2030270514</v>
      </c>
      <c r="F52" s="77">
        <f t="shared" si="53"/>
        <v>-2301727.3884701431</v>
      </c>
      <c r="G52" s="77">
        <f t="shared" si="53"/>
        <v>-2290813.8639221773</v>
      </c>
      <c r="H52" s="77">
        <f>G52+H46+H47+H49</f>
        <v>-1463386.4170422012</v>
      </c>
      <c r="I52" s="77">
        <f t="shared" si="53"/>
        <v>-1512764.2429596116</v>
      </c>
      <c r="J52" s="77">
        <f t="shared" si="53"/>
        <v>-2949997.6429068265</v>
      </c>
      <c r="K52" s="77">
        <f t="shared" si="53"/>
        <v>-3921165.8709389581</v>
      </c>
      <c r="L52" s="77">
        <f t="shared" si="53"/>
        <v>-4158241.7027592571</v>
      </c>
      <c r="M52" s="77">
        <f t="shared" si="53"/>
        <v>-4158241.7027592571</v>
      </c>
      <c r="N52" s="77">
        <f t="shared" si="53"/>
        <v>-4158241.7027592571</v>
      </c>
      <c r="O52" s="77">
        <f t="shared" si="53"/>
        <v>-4158241.7027592571</v>
      </c>
      <c r="P52" s="77"/>
    </row>
    <row r="53" spans="1:21" ht="15" customHeight="1">
      <c r="A53" s="28">
        <v>35</v>
      </c>
      <c r="B53" s="13" t="s">
        <v>153</v>
      </c>
      <c r="C53" s="28"/>
      <c r="D53" s="77"/>
      <c r="E53" s="189"/>
      <c r="F53" s="77"/>
      <c r="G53" s="77"/>
      <c r="H53" s="77"/>
      <c r="I53" s="77"/>
      <c r="J53" s="77">
        <f>I52*J48/12</f>
        <v>-1260.6368691330097</v>
      </c>
      <c r="K53" s="77">
        <f>J54*K48/12</f>
        <v>-1261.6873998572871</v>
      </c>
      <c r="L53" s="77">
        <f t="shared" ref="L53:O53" si="54">K54*L48/12</f>
        <v>-1262.7388060238347</v>
      </c>
      <c r="M53" s="77">
        <f t="shared" si="54"/>
        <v>0</v>
      </c>
      <c r="N53" s="77">
        <f t="shared" si="54"/>
        <v>0</v>
      </c>
      <c r="O53" s="77">
        <f t="shared" si="54"/>
        <v>0</v>
      </c>
      <c r="P53" s="77"/>
    </row>
    <row r="54" spans="1:21" ht="15" customHeight="1">
      <c r="A54" s="28">
        <v>36</v>
      </c>
      <c r="B54" s="13" t="s">
        <v>154</v>
      </c>
      <c r="C54" s="28"/>
      <c r="D54" s="77"/>
      <c r="E54" s="189"/>
      <c r="F54" s="77"/>
      <c r="G54" s="77"/>
      <c r="H54" s="77"/>
      <c r="I54" s="77"/>
      <c r="J54" s="77">
        <f>I52+J53</f>
        <v>-1514024.8798287446</v>
      </c>
      <c r="K54" s="77">
        <f>J54+K53</f>
        <v>-1515286.5672286018</v>
      </c>
      <c r="L54" s="77">
        <f t="shared" ref="L54:O54" si="55">K54+L53</f>
        <v>-1516549.3060346255</v>
      </c>
      <c r="M54" s="77">
        <f t="shared" si="55"/>
        <v>-1516549.3060346255</v>
      </c>
      <c r="N54" s="77">
        <f t="shared" si="55"/>
        <v>-1516549.3060346255</v>
      </c>
      <c r="O54" s="77">
        <f t="shared" si="55"/>
        <v>-1516549.3060346255</v>
      </c>
      <c r="P54" s="77"/>
    </row>
    <row r="55" spans="1:21" ht="15" customHeight="1">
      <c r="A55" s="28">
        <v>37</v>
      </c>
      <c r="B55" s="13" t="s">
        <v>155</v>
      </c>
      <c r="C55" s="28"/>
      <c r="D55" s="77"/>
      <c r="E55" s="189"/>
      <c r="F55" s="77"/>
      <c r="G55" s="77"/>
      <c r="H55" s="77"/>
      <c r="I55" s="77"/>
      <c r="J55" s="77">
        <f>J49-J53</f>
        <v>-598.07278762102578</v>
      </c>
      <c r="K55" s="77">
        <f t="shared" ref="K55:O55" si="56">K49-K53</f>
        <v>-1600.1049840851476</v>
      </c>
      <c r="L55" s="77">
        <f t="shared" si="56"/>
        <v>-2102.2789256288997</v>
      </c>
      <c r="M55" s="77">
        <f t="shared" si="56"/>
        <v>0</v>
      </c>
      <c r="N55" s="77">
        <f t="shared" si="56"/>
        <v>0</v>
      </c>
      <c r="O55" s="77">
        <f t="shared" si="56"/>
        <v>0</v>
      </c>
      <c r="P55" s="77"/>
    </row>
    <row r="56" spans="1:21" ht="15" customHeight="1">
      <c r="A56" s="28"/>
      <c r="B56" s="209"/>
      <c r="C56" s="28"/>
      <c r="D56" s="77"/>
      <c r="E56" s="189"/>
      <c r="F56" s="77"/>
      <c r="G56" s="77"/>
      <c r="H56" s="77"/>
      <c r="I56" s="77"/>
      <c r="J56" s="77"/>
      <c r="K56" s="77"/>
      <c r="L56" s="77"/>
      <c r="M56" s="77"/>
      <c r="N56" s="77"/>
      <c r="O56" s="77"/>
      <c r="P56" s="77"/>
      <c r="Q56" s="59"/>
      <c r="R56" s="59"/>
      <c r="S56" s="59"/>
      <c r="T56" s="59"/>
      <c r="U56" s="60"/>
    </row>
    <row r="57" spans="1:21" ht="15" customHeight="1">
      <c r="A57" s="28"/>
      <c r="B57" s="1" t="s">
        <v>26</v>
      </c>
      <c r="C57" s="28"/>
      <c r="D57" s="77"/>
      <c r="E57" s="189"/>
      <c r="F57" s="77"/>
      <c r="G57" s="77"/>
      <c r="H57" s="77"/>
      <c r="I57" s="77"/>
      <c r="J57" s="77"/>
      <c r="K57" s="77"/>
      <c r="L57" s="77"/>
      <c r="M57" s="77"/>
      <c r="N57" s="77"/>
      <c r="O57" s="77"/>
      <c r="P57" s="77"/>
      <c r="Q57" s="59"/>
      <c r="R57" s="59"/>
      <c r="S57" s="59"/>
      <c r="T57" s="59"/>
      <c r="U57" s="60"/>
    </row>
    <row r="58" spans="1:21" ht="15" customHeight="1">
      <c r="A58" s="28"/>
      <c r="B58" s="1"/>
      <c r="C58" s="28"/>
      <c r="D58" s="77"/>
      <c r="E58" s="189"/>
      <c r="F58" s="77"/>
      <c r="G58" s="77"/>
      <c r="H58" s="77"/>
      <c r="I58" s="77"/>
      <c r="J58" s="77"/>
      <c r="K58" s="77"/>
      <c r="L58" s="77"/>
      <c r="M58" s="77"/>
      <c r="N58" s="77"/>
      <c r="O58" s="77"/>
      <c r="P58" s="77"/>
      <c r="Q58" s="124"/>
      <c r="R58" s="124"/>
      <c r="S58" s="59"/>
      <c r="T58" s="59"/>
      <c r="U58" s="60"/>
    </row>
    <row r="59" spans="1:21" ht="15" customHeight="1">
      <c r="A59" s="28">
        <v>1</v>
      </c>
      <c r="B59" s="13" t="s">
        <v>70</v>
      </c>
      <c r="C59" s="28" t="s">
        <v>71</v>
      </c>
      <c r="D59" s="94">
        <v>25577</v>
      </c>
      <c r="E59" s="203">
        <v>25605</v>
      </c>
      <c r="F59" s="94">
        <v>25611</v>
      </c>
      <c r="G59" s="94">
        <v>25815</v>
      </c>
      <c r="H59" s="94">
        <v>25644</v>
      </c>
      <c r="I59" s="94">
        <v>25815</v>
      </c>
      <c r="J59" s="94">
        <v>25724</v>
      </c>
      <c r="K59" s="94">
        <v>25722</v>
      </c>
      <c r="L59" s="94">
        <v>26266</v>
      </c>
      <c r="M59" s="94">
        <v>0</v>
      </c>
      <c r="N59" s="94">
        <v>0</v>
      </c>
      <c r="O59" s="94">
        <v>0</v>
      </c>
      <c r="P59" s="94"/>
      <c r="Q59" s="59">
        <f>SUM(D59:F59)</f>
        <v>76793</v>
      </c>
      <c r="R59" s="59">
        <f>SUM(G59:I59)</f>
        <v>77274</v>
      </c>
      <c r="S59" s="59">
        <f>SUM(J59:L59)</f>
        <v>77712</v>
      </c>
      <c r="T59" s="59">
        <f>SUM(M59:O59)</f>
        <v>0</v>
      </c>
      <c r="U59" s="60">
        <f>SUM(D59:O59)</f>
        <v>231779</v>
      </c>
    </row>
    <row r="60" spans="1:21" ht="15" customHeight="1">
      <c r="A60" s="28">
        <v>2</v>
      </c>
      <c r="B60" s="13" t="s">
        <v>72</v>
      </c>
      <c r="C60" s="28" t="s">
        <v>71</v>
      </c>
      <c r="D60" s="94">
        <v>98853289.642000005</v>
      </c>
      <c r="E60" s="203">
        <v>94872233.016000003</v>
      </c>
      <c r="F60" s="94">
        <v>84512973.033249989</v>
      </c>
      <c r="G60" s="94">
        <v>87195040.879120007</v>
      </c>
      <c r="H60" s="94">
        <v>84019073.316000015</v>
      </c>
      <c r="I60" s="94">
        <v>98563688.730999991</v>
      </c>
      <c r="J60" s="94">
        <v>94116235.743000001</v>
      </c>
      <c r="K60" s="94">
        <v>91420025.613999993</v>
      </c>
      <c r="L60" s="94">
        <v>93920164.476000026</v>
      </c>
      <c r="M60" s="94">
        <v>0</v>
      </c>
      <c r="N60" s="94">
        <v>0</v>
      </c>
      <c r="O60" s="94">
        <v>0</v>
      </c>
      <c r="P60" s="94"/>
      <c r="Q60" s="59">
        <f>SUM(D60:F60)</f>
        <v>278238495.69124997</v>
      </c>
      <c r="R60" s="59">
        <f>SUM(G60:I60)</f>
        <v>269777802.92612004</v>
      </c>
      <c r="S60" s="59">
        <f>SUM(J60:L60)</f>
        <v>279456425.833</v>
      </c>
      <c r="T60" s="59">
        <f>SUM(M60:O60)</f>
        <v>0</v>
      </c>
      <c r="U60" s="60">
        <f>SUM(D60:O60)</f>
        <v>827472724.45036995</v>
      </c>
    </row>
    <row r="61" spans="1:21" ht="15" customHeight="1">
      <c r="A61" s="28">
        <v>3</v>
      </c>
      <c r="B61" s="13" t="s">
        <v>73</v>
      </c>
      <c r="C61" s="28" t="s">
        <v>71</v>
      </c>
      <c r="D61" s="95">
        <v>8361255.2906999998</v>
      </c>
      <c r="E61" s="204">
        <v>8044055.6524100006</v>
      </c>
      <c r="F61" s="95">
        <v>7506580.7235199995</v>
      </c>
      <c r="G61" s="95">
        <v>7737985.0543600004</v>
      </c>
      <c r="H61" s="95">
        <v>7458827.2618800001</v>
      </c>
      <c r="I61" s="95">
        <v>8487567.9975199997</v>
      </c>
      <c r="J61" s="95">
        <v>8477058.6279300004</v>
      </c>
      <c r="K61" s="95">
        <v>7955042.6255100006</v>
      </c>
      <c r="L61" s="95">
        <v>8329993.9660299998</v>
      </c>
      <c r="M61" s="95">
        <v>0</v>
      </c>
      <c r="N61" s="95">
        <v>0</v>
      </c>
      <c r="O61" s="95">
        <v>0</v>
      </c>
      <c r="P61" s="95"/>
      <c r="Q61" s="124">
        <f>SUM(D61:F61)</f>
        <v>23911891.66663</v>
      </c>
      <c r="R61" s="124">
        <f>SUM(G61:I61)</f>
        <v>23684380.313760001</v>
      </c>
      <c r="S61" s="59">
        <f>SUM(J61:L61)</f>
        <v>24762095.219470002</v>
      </c>
      <c r="T61" s="59">
        <f>SUM(M61:O61)</f>
        <v>0</v>
      </c>
      <c r="U61" s="60">
        <f>SUM(D61:O61)</f>
        <v>72358367.199860007</v>
      </c>
    </row>
    <row r="62" spans="1:21" ht="15" customHeight="1">
      <c r="A62" s="28">
        <v>4</v>
      </c>
      <c r="B62" s="13" t="s">
        <v>74</v>
      </c>
      <c r="C62" s="28" t="s">
        <v>71</v>
      </c>
      <c r="D62" s="95">
        <v>682273.63</v>
      </c>
      <c r="E62" s="204">
        <v>680303.29</v>
      </c>
      <c r="F62" s="95">
        <v>680361.52</v>
      </c>
      <c r="G62" s="95">
        <v>679638.69</v>
      </c>
      <c r="H62" s="95">
        <v>678149.96000000008</v>
      </c>
      <c r="I62" s="95">
        <v>675058.07999999984</v>
      </c>
      <c r="J62" s="95">
        <v>626641.66</v>
      </c>
      <c r="K62" s="95">
        <v>633989.56000000006</v>
      </c>
      <c r="L62" s="95">
        <v>749790.30000000016</v>
      </c>
      <c r="M62" s="95">
        <v>0</v>
      </c>
      <c r="N62" s="95">
        <v>0</v>
      </c>
      <c r="O62" s="95">
        <v>0</v>
      </c>
      <c r="P62" s="95"/>
      <c r="Q62" s="124">
        <f>SUM(D62:F62)</f>
        <v>2042938.44</v>
      </c>
      <c r="R62" s="124">
        <f>SUM(G62:I62)</f>
        <v>2032846.7299999997</v>
      </c>
      <c r="S62" s="59">
        <f>SUM(J62:L62)</f>
        <v>2010421.5200000005</v>
      </c>
      <c r="T62" s="59">
        <f>SUM(M62:O62)</f>
        <v>0</v>
      </c>
      <c r="U62" s="60">
        <f>SUM(D62:O62)</f>
        <v>6086206.6900000004</v>
      </c>
    </row>
    <row r="63" spans="1:21" ht="15" customHeight="1">
      <c r="A63" s="28"/>
      <c r="B63" s="13"/>
      <c r="C63" s="28"/>
      <c r="D63" s="77"/>
      <c r="E63" s="189"/>
      <c r="F63" s="77"/>
      <c r="G63" s="77"/>
      <c r="H63" s="77"/>
      <c r="I63" s="77"/>
      <c r="J63" s="77"/>
      <c r="K63" s="77"/>
      <c r="L63" s="77"/>
      <c r="M63" s="77"/>
      <c r="N63" s="77"/>
      <c r="O63" s="77"/>
      <c r="P63" s="77"/>
      <c r="Q63" s="59"/>
      <c r="R63" s="59"/>
      <c r="S63" s="59"/>
      <c r="T63" s="59"/>
      <c r="U63" s="60"/>
    </row>
    <row r="64" spans="1:21" ht="15" customHeight="1">
      <c r="A64" s="28"/>
      <c r="B64" s="71" t="str">
        <f>B16</f>
        <v>Existing Customers</v>
      </c>
      <c r="C64" s="28"/>
      <c r="D64" s="77"/>
      <c r="E64" s="189"/>
      <c r="F64" s="77"/>
      <c r="G64" s="77"/>
      <c r="H64" s="77"/>
      <c r="I64" s="77"/>
      <c r="J64" s="77"/>
      <c r="K64" s="77"/>
      <c r="L64" s="77"/>
      <c r="M64" s="77"/>
      <c r="N64" s="77"/>
      <c r="O64" s="77"/>
      <c r="P64" s="77"/>
      <c r="Q64" s="59"/>
      <c r="R64" s="59"/>
      <c r="S64" s="59"/>
      <c r="T64" s="59"/>
      <c r="U64" s="60"/>
    </row>
    <row r="65" spans="1:21" ht="15" customHeight="1">
      <c r="A65" s="28">
        <v>5</v>
      </c>
      <c r="B65" s="13" t="str">
        <f>B17</f>
        <v>Actual Customers on System During Test Year</v>
      </c>
      <c r="C65" s="28" t="str">
        <f>C17</f>
        <v>(1) - (16)</v>
      </c>
      <c r="D65" s="73">
        <f t="shared" ref="D65:O65" si="57">D59-D79</f>
        <v>23490</v>
      </c>
      <c r="E65" s="187">
        <f t="shared" si="57"/>
        <v>23466</v>
      </c>
      <c r="F65" s="73">
        <f t="shared" si="57"/>
        <v>24001</v>
      </c>
      <c r="G65" s="73">
        <f t="shared" si="57"/>
        <v>24165</v>
      </c>
      <c r="H65" s="73">
        <f t="shared" si="57"/>
        <v>23920</v>
      </c>
      <c r="I65" s="73">
        <f t="shared" si="57"/>
        <v>24034</v>
      </c>
      <c r="J65" s="73">
        <f t="shared" si="57"/>
        <v>23883</v>
      </c>
      <c r="K65" s="73">
        <f t="shared" si="57"/>
        <v>23949</v>
      </c>
      <c r="L65" s="73">
        <f t="shared" si="57"/>
        <v>24409</v>
      </c>
      <c r="M65" s="73">
        <f t="shared" si="57"/>
        <v>0</v>
      </c>
      <c r="N65" s="73">
        <f t="shared" si="57"/>
        <v>0</v>
      </c>
      <c r="O65" s="73">
        <f t="shared" si="57"/>
        <v>0</v>
      </c>
      <c r="P65" s="73"/>
      <c r="Q65" s="59">
        <f>SUM(D65:F65)</f>
        <v>70957</v>
      </c>
      <c r="R65" s="59">
        <f>SUM(G65:I65)</f>
        <v>72119</v>
      </c>
      <c r="S65" s="59">
        <f>SUM(J65:L65)</f>
        <v>72241</v>
      </c>
      <c r="T65" s="59">
        <f>SUM(M65:O65)</f>
        <v>0</v>
      </c>
      <c r="U65" s="60">
        <f>SUM(D65:O65)</f>
        <v>215317</v>
      </c>
    </row>
    <row r="66" spans="1:21" ht="15" customHeight="1">
      <c r="A66" s="74">
        <v>6</v>
      </c>
      <c r="B66" s="13" t="str">
        <f>B18</f>
        <v>Monthly Fixed Cost Adj. Revenue per Customer</v>
      </c>
      <c r="C66" s="28" t="str">
        <f>C18</f>
        <v>Page 3</v>
      </c>
      <c r="D66" s="75">
        <v>214.3293360327169</v>
      </c>
      <c r="E66" s="188">
        <v>199.0145925794908</v>
      </c>
      <c r="F66" s="75">
        <v>183.2825154609084</v>
      </c>
      <c r="G66" s="75">
        <v>190.54256397486014</v>
      </c>
      <c r="H66" s="75">
        <v>196.87868174850584</v>
      </c>
      <c r="I66" s="75">
        <v>209.44464285598031</v>
      </c>
      <c r="J66" s="75">
        <v>208.65088130744419</v>
      </c>
      <c r="K66" s="75">
        <v>205.33012756542985</v>
      </c>
      <c r="L66" s="75">
        <v>182.78573934863826</v>
      </c>
      <c r="M66" s="75">
        <v>190.59996884763561</v>
      </c>
      <c r="N66" s="75">
        <v>186.36904076984447</v>
      </c>
      <c r="O66" s="75">
        <v>194.34381959695375</v>
      </c>
      <c r="P66" s="75"/>
      <c r="Q66" s="55">
        <f>Q67/Q65</f>
        <v>198.76314086638547</v>
      </c>
      <c r="R66" s="55">
        <f>R67/R65</f>
        <v>198.94329749826517</v>
      </c>
      <c r="S66" s="55">
        <f t="shared" ref="S66" si="58">S67/S65</f>
        <v>198.81061080399053</v>
      </c>
      <c r="T66" s="55" t="e">
        <f>T67/T65</f>
        <v>#DIV/0!</v>
      </c>
      <c r="U66" s="55">
        <f>U67/U65</f>
        <v>198.8394097717532</v>
      </c>
    </row>
    <row r="67" spans="1:21" ht="15" customHeight="1">
      <c r="A67" s="28">
        <v>7</v>
      </c>
      <c r="B67" s="13" t="str">
        <f>B19</f>
        <v>Fixed Cost Adjustment Revenue</v>
      </c>
      <c r="C67" s="28" t="str">
        <f>C19</f>
        <v>(5) x (6)</v>
      </c>
      <c r="D67" s="77">
        <f t="shared" ref="D67:N67" si="59">D65*D66</f>
        <v>5034596.1034085201</v>
      </c>
      <c r="E67" s="189">
        <f t="shared" si="59"/>
        <v>4670076.4294703314</v>
      </c>
      <c r="F67" s="77">
        <f t="shared" si="59"/>
        <v>4398963.6535772625</v>
      </c>
      <c r="G67" s="77">
        <f t="shared" si="59"/>
        <v>4604461.0584524954</v>
      </c>
      <c r="H67" s="77">
        <f t="shared" si="59"/>
        <v>4709338.0674242601</v>
      </c>
      <c r="I67" s="77">
        <f t="shared" si="59"/>
        <v>5033792.5464006308</v>
      </c>
      <c r="J67" s="77">
        <f t="shared" si="59"/>
        <v>4983208.9982656892</v>
      </c>
      <c r="K67" s="77">
        <f t="shared" si="59"/>
        <v>4917451.2250644797</v>
      </c>
      <c r="L67" s="77">
        <f t="shared" si="59"/>
        <v>4461617.1117609115</v>
      </c>
      <c r="M67" s="77">
        <f t="shared" si="59"/>
        <v>0</v>
      </c>
      <c r="N67" s="77">
        <f t="shared" si="59"/>
        <v>0</v>
      </c>
      <c r="O67" s="190">
        <f>O65*O66+0</f>
        <v>0</v>
      </c>
      <c r="P67" s="191"/>
      <c r="Q67" s="56">
        <f>SUM(D67:F67)</f>
        <v>14103636.186456114</v>
      </c>
      <c r="R67" s="56">
        <f>SUM(G67:I67)</f>
        <v>14347591.672277385</v>
      </c>
      <c r="S67" s="56">
        <f>SUM(J67:L67)</f>
        <v>14362277.335091081</v>
      </c>
      <c r="T67" s="56">
        <f>SUM(M67:O67)</f>
        <v>0</v>
      </c>
      <c r="U67" s="61">
        <f>SUM(D67:O67)</f>
        <v>42813505.193824582</v>
      </c>
    </row>
    <row r="68" spans="1:21" ht="15" customHeight="1">
      <c r="A68" s="28"/>
      <c r="B68" s="13"/>
      <c r="C68" s="28"/>
      <c r="D68" s="78"/>
      <c r="E68" s="192"/>
      <c r="F68" s="78"/>
      <c r="G68" s="78"/>
      <c r="H68" s="78"/>
      <c r="I68" s="78"/>
      <c r="J68" s="78"/>
      <c r="K68" s="78"/>
      <c r="L68" s="78"/>
      <c r="M68" s="78"/>
      <c r="N68" s="78"/>
      <c r="O68" s="78"/>
      <c r="P68" s="78"/>
      <c r="Q68" s="31"/>
      <c r="R68" s="31"/>
    </row>
    <row r="69" spans="1:21" ht="15" customHeight="1">
      <c r="A69" s="28">
        <v>8</v>
      </c>
      <c r="B69" s="13" t="str">
        <f t="shared" ref="B69:C74" si="60">B21</f>
        <v>Actual Base Rate Revenue</v>
      </c>
      <c r="C69" s="28" t="str">
        <f t="shared" si="60"/>
        <v>(3) - (19)</v>
      </c>
      <c r="D69" s="77">
        <f t="shared" ref="D69:O70" si="61">D61-D83</f>
        <v>8021302.5707</v>
      </c>
      <c r="E69" s="189">
        <f t="shared" si="61"/>
        <v>7697989.8224100005</v>
      </c>
      <c r="F69" s="77">
        <f t="shared" si="61"/>
        <v>7284315.4035199992</v>
      </c>
      <c r="G69" s="77">
        <f t="shared" si="61"/>
        <v>7475105.9243600005</v>
      </c>
      <c r="H69" s="77">
        <f t="shared" si="61"/>
        <v>7248196.8318800004</v>
      </c>
      <c r="I69" s="77">
        <f t="shared" si="61"/>
        <v>8237234.73752</v>
      </c>
      <c r="J69" s="77">
        <f t="shared" si="61"/>
        <v>8187970.6079300009</v>
      </c>
      <c r="K69" s="77">
        <f t="shared" si="61"/>
        <v>7685784.1355100004</v>
      </c>
      <c r="L69" s="77">
        <f t="shared" si="61"/>
        <v>8063569.1560300002</v>
      </c>
      <c r="M69" s="77">
        <f t="shared" si="61"/>
        <v>0</v>
      </c>
      <c r="N69" s="77">
        <f t="shared" si="61"/>
        <v>0</v>
      </c>
      <c r="O69" s="77">
        <f t="shared" si="61"/>
        <v>0</v>
      </c>
      <c r="P69" s="77"/>
      <c r="Q69" s="77">
        <f t="shared" ref="Q69:R69" si="62">Q61-Q83</f>
        <v>23003607.796629999</v>
      </c>
      <c r="R69" s="77">
        <f t="shared" si="62"/>
        <v>22960537.493760001</v>
      </c>
      <c r="S69" s="77">
        <f>S61-S83</f>
        <v>23937323.899470001</v>
      </c>
      <c r="T69" s="77">
        <f t="shared" ref="T69:U70" si="63">T61-T83</f>
        <v>0</v>
      </c>
      <c r="U69" s="77">
        <f t="shared" si="63"/>
        <v>69901469.189860001</v>
      </c>
    </row>
    <row r="70" spans="1:21" ht="15" customHeight="1">
      <c r="A70" s="28">
        <v>9</v>
      </c>
      <c r="B70" s="13" t="str">
        <f t="shared" si="60"/>
        <v>Actual Fixed Charge Revenue</v>
      </c>
      <c r="C70" s="28" t="str">
        <f t="shared" si="60"/>
        <v>(4) - (20)</v>
      </c>
      <c r="D70" s="77">
        <f t="shared" si="61"/>
        <v>649848.42000000004</v>
      </c>
      <c r="E70" s="189">
        <f t="shared" si="61"/>
        <v>647581.68000000005</v>
      </c>
      <c r="F70" s="77">
        <f t="shared" si="61"/>
        <v>655745.30000000005</v>
      </c>
      <c r="G70" s="77">
        <f t="shared" si="61"/>
        <v>653615.68999999994</v>
      </c>
      <c r="H70" s="77">
        <f t="shared" si="61"/>
        <v>652286.85000000009</v>
      </c>
      <c r="I70" s="77">
        <f t="shared" si="61"/>
        <v>648383.25999999989</v>
      </c>
      <c r="J70" s="77">
        <f t="shared" si="61"/>
        <v>599709.98</v>
      </c>
      <c r="K70" s="77">
        <f t="shared" si="61"/>
        <v>607911.5</v>
      </c>
      <c r="L70" s="77">
        <f t="shared" si="61"/>
        <v>722721.91000000015</v>
      </c>
      <c r="M70" s="77">
        <f t="shared" si="61"/>
        <v>0</v>
      </c>
      <c r="N70" s="77">
        <f t="shared" si="61"/>
        <v>0</v>
      </c>
      <c r="O70" s="77">
        <f t="shared" si="61"/>
        <v>0</v>
      </c>
      <c r="P70" s="77"/>
      <c r="Q70" s="77">
        <f t="shared" ref="Q70:R70" si="64">Q62-Q84</f>
        <v>1953175.4</v>
      </c>
      <c r="R70" s="77">
        <f t="shared" si="64"/>
        <v>1954285.7999999998</v>
      </c>
      <c r="S70" s="77">
        <f>S62-S84</f>
        <v>1930343.3900000006</v>
      </c>
      <c r="T70" s="77">
        <f t="shared" si="63"/>
        <v>0</v>
      </c>
      <c r="U70" s="77">
        <f t="shared" si="63"/>
        <v>5837804.5900000008</v>
      </c>
    </row>
    <row r="71" spans="1:21" ht="15" customHeight="1">
      <c r="A71" s="28">
        <v>10</v>
      </c>
      <c r="B71" s="13" t="str">
        <f t="shared" si="60"/>
        <v>Actual Usage (kWhs)</v>
      </c>
      <c r="C71" s="28" t="str">
        <f t="shared" si="60"/>
        <v>(2) - (21)</v>
      </c>
      <c r="D71" s="73">
        <f t="shared" ref="D71:O71" si="65">D60-D85</f>
        <v>95116709.756999999</v>
      </c>
      <c r="E71" s="187">
        <f t="shared" si="65"/>
        <v>91057516.846000001</v>
      </c>
      <c r="F71" s="73">
        <f t="shared" si="65"/>
        <v>82096909.543249995</v>
      </c>
      <c r="G71" s="73">
        <f t="shared" si="65"/>
        <v>84381246.547120005</v>
      </c>
      <c r="H71" s="73">
        <f t="shared" si="65"/>
        <v>81881317.569000021</v>
      </c>
      <c r="I71" s="73">
        <f t="shared" si="65"/>
        <v>95932685.350999996</v>
      </c>
      <c r="J71" s="73">
        <f t="shared" si="65"/>
        <v>91014635.842999995</v>
      </c>
      <c r="K71" s="73">
        <f t="shared" si="65"/>
        <v>88567389.743999988</v>
      </c>
      <c r="L71" s="73">
        <f t="shared" si="65"/>
        <v>91126051.72800003</v>
      </c>
      <c r="M71" s="73">
        <f t="shared" si="65"/>
        <v>0</v>
      </c>
      <c r="N71" s="73">
        <f t="shared" si="65"/>
        <v>0</v>
      </c>
      <c r="O71" s="73">
        <f t="shared" si="65"/>
        <v>0</v>
      </c>
      <c r="P71" s="73"/>
      <c r="Q71" s="73">
        <f t="shared" ref="Q71:U71" si="66">Q60-Q85</f>
        <v>268271136.14624998</v>
      </c>
      <c r="R71" s="73">
        <f t="shared" si="66"/>
        <v>262195249.46712005</v>
      </c>
      <c r="S71" s="73">
        <f t="shared" si="66"/>
        <v>270708077.315</v>
      </c>
      <c r="T71" s="73">
        <f t="shared" si="66"/>
        <v>0</v>
      </c>
      <c r="U71" s="73">
        <f t="shared" si="66"/>
        <v>801174462.92837</v>
      </c>
    </row>
    <row r="72" spans="1:21" ht="15" customHeight="1">
      <c r="A72" s="28">
        <v>11</v>
      </c>
      <c r="B72" s="13" t="str">
        <f t="shared" si="60"/>
        <v>Load Change Adjustment Rate ($/kWh)</v>
      </c>
      <c r="C72" s="28" t="str">
        <f t="shared" si="60"/>
        <v>Page 1</v>
      </c>
      <c r="D72" s="79">
        <f t="shared" ref="D72:O72" si="67">D24</f>
        <v>2.2120000000000001E-2</v>
      </c>
      <c r="E72" s="194">
        <f t="shared" si="67"/>
        <v>2.2120000000000001E-2</v>
      </c>
      <c r="F72" s="79">
        <f t="shared" si="67"/>
        <v>2.5000000000000001E-2</v>
      </c>
      <c r="G72" s="79">
        <f t="shared" si="67"/>
        <v>2.5000000000000001E-2</v>
      </c>
      <c r="H72" s="79">
        <f t="shared" si="67"/>
        <v>2.5000000000000001E-2</v>
      </c>
      <c r="I72" s="79">
        <f t="shared" si="67"/>
        <v>2.5000000000000001E-2</v>
      </c>
      <c r="J72" s="79">
        <f t="shared" si="67"/>
        <v>2.5000000000000001E-2</v>
      </c>
      <c r="K72" s="79">
        <f t="shared" si="67"/>
        <v>2.5000000000000001E-2</v>
      </c>
      <c r="L72" s="79">
        <f t="shared" si="67"/>
        <v>2.5000000000000001E-2</v>
      </c>
      <c r="M72" s="79">
        <f t="shared" si="67"/>
        <v>2.5000000000000001E-2</v>
      </c>
      <c r="N72" s="79">
        <f t="shared" si="67"/>
        <v>2.5000000000000001E-2</v>
      </c>
      <c r="O72" s="79">
        <f t="shared" si="67"/>
        <v>2.5000000000000001E-2</v>
      </c>
      <c r="P72" s="79"/>
      <c r="Q72" s="79">
        <f>Q27</f>
        <v>58.251948980980437</v>
      </c>
      <c r="R72" s="107">
        <f>R73/R71</f>
        <v>2.4999999999999998E-2</v>
      </c>
      <c r="S72" s="107">
        <f t="shared" ref="S72" si="68">S73/S71</f>
        <v>2.5000000000000001E-2</v>
      </c>
      <c r="T72" s="107" t="e">
        <f>T73/T71</f>
        <v>#DIV/0!</v>
      </c>
      <c r="U72" s="107">
        <f>U73/U71</f>
        <v>2.4330755288109358E-2</v>
      </c>
    </row>
    <row r="73" spans="1:21" ht="15" customHeight="1">
      <c r="A73" s="28">
        <v>12</v>
      </c>
      <c r="B73" s="13" t="str">
        <f t="shared" si="60"/>
        <v>Variable Power Supply Revenue</v>
      </c>
      <c r="C73" s="28" t="str">
        <f t="shared" si="60"/>
        <v>(10) x (11)</v>
      </c>
      <c r="D73" s="77">
        <f t="shared" ref="D73:O73" si="69">D71*D72</f>
        <v>2103981.6198248402</v>
      </c>
      <c r="E73" s="189">
        <f t="shared" si="69"/>
        <v>2014192.2726335202</v>
      </c>
      <c r="F73" s="77">
        <f t="shared" si="69"/>
        <v>2052422.73858125</v>
      </c>
      <c r="G73" s="77">
        <f t="shared" si="69"/>
        <v>2109531.1636780002</v>
      </c>
      <c r="H73" s="77">
        <f t="shared" si="69"/>
        <v>2047032.9392250006</v>
      </c>
      <c r="I73" s="77">
        <f t="shared" si="69"/>
        <v>2398317.133775</v>
      </c>
      <c r="J73" s="77">
        <f t="shared" si="69"/>
        <v>2275365.8960750001</v>
      </c>
      <c r="K73" s="77">
        <f t="shared" si="69"/>
        <v>2214184.7435999997</v>
      </c>
      <c r="L73" s="77">
        <f t="shared" si="69"/>
        <v>2278151.2932000007</v>
      </c>
      <c r="M73" s="77">
        <f t="shared" si="69"/>
        <v>0</v>
      </c>
      <c r="N73" s="77">
        <f t="shared" si="69"/>
        <v>0</v>
      </c>
      <c r="O73" s="77">
        <f t="shared" si="69"/>
        <v>0</v>
      </c>
      <c r="P73" s="77"/>
      <c r="Q73" s="56">
        <f>SUM(F73:H73)</f>
        <v>6208986.8414842505</v>
      </c>
      <c r="R73" s="56">
        <f>SUM(G73:I73)</f>
        <v>6554881.2366780005</v>
      </c>
      <c r="S73" s="56">
        <f>SUM(J73:L73)</f>
        <v>6767701.9328749999</v>
      </c>
      <c r="T73" s="56">
        <f>SUM(M73:O73)</f>
        <v>0</v>
      </c>
      <c r="U73" s="61">
        <f>SUM(D73:O73)</f>
        <v>19493179.800592612</v>
      </c>
    </row>
    <row r="74" spans="1:21" ht="15" customHeight="1">
      <c r="A74" s="28">
        <v>13</v>
      </c>
      <c r="B74" s="13" t="str">
        <f t="shared" si="60"/>
        <v>Customer Fixed Cost Adjustment Revenue</v>
      </c>
      <c r="C74" s="28" t="str">
        <f t="shared" si="60"/>
        <v>(8) - (9) -(12)</v>
      </c>
      <c r="D74" s="77">
        <f t="shared" ref="D74:O74" si="70">D69-D70-D73</f>
        <v>5267472.5308751594</v>
      </c>
      <c r="E74" s="189">
        <f t="shared" si="70"/>
        <v>5036215.8697764808</v>
      </c>
      <c r="F74" s="77">
        <f t="shared" si="70"/>
        <v>4576147.364938749</v>
      </c>
      <c r="G74" s="77">
        <f t="shared" si="70"/>
        <v>4711959.0706820004</v>
      </c>
      <c r="H74" s="77">
        <f t="shared" si="70"/>
        <v>4548877.0426549995</v>
      </c>
      <c r="I74" s="77">
        <f t="shared" si="70"/>
        <v>5190534.3437450007</v>
      </c>
      <c r="J74" s="77">
        <f t="shared" si="70"/>
        <v>5312894.7318550004</v>
      </c>
      <c r="K74" s="77">
        <f t="shared" si="70"/>
        <v>4863687.8919100007</v>
      </c>
      <c r="L74" s="77">
        <f t="shared" si="70"/>
        <v>5062695.9528299998</v>
      </c>
      <c r="M74" s="77">
        <f t="shared" si="70"/>
        <v>0</v>
      </c>
      <c r="N74" s="77">
        <f t="shared" si="70"/>
        <v>0</v>
      </c>
      <c r="O74" s="77">
        <f t="shared" si="70"/>
        <v>0</v>
      </c>
      <c r="P74" s="77"/>
      <c r="Q74" s="56">
        <f>SUM(D74:F74)</f>
        <v>14879835.76559039</v>
      </c>
      <c r="R74" s="56">
        <f>SUM(G74:I74)</f>
        <v>14451370.457082</v>
      </c>
      <c r="S74" s="56">
        <f>SUM(J74:L74)</f>
        <v>15239278.576595001</v>
      </c>
      <c r="T74" s="56">
        <f>SUM(M74:O74)</f>
        <v>0</v>
      </c>
      <c r="U74" s="61">
        <f>SUM(D74:O74)</f>
        <v>44570484.799267389</v>
      </c>
    </row>
    <row r="75" spans="1:21" ht="15" customHeight="1">
      <c r="A75" s="28">
        <v>14</v>
      </c>
      <c r="B75" s="3" t="s">
        <v>27</v>
      </c>
      <c r="C75" s="28"/>
      <c r="D75" s="96">
        <f t="shared" ref="D75:O75" si="71">D74/D65</f>
        <v>224.24318990528562</v>
      </c>
      <c r="E75" s="205">
        <f t="shared" si="71"/>
        <v>214.61756881345269</v>
      </c>
      <c r="F75" s="96">
        <f t="shared" si="71"/>
        <v>190.66486250317692</v>
      </c>
      <c r="G75" s="96">
        <f t="shared" si="71"/>
        <v>194.99106437748813</v>
      </c>
      <c r="H75" s="96">
        <f t="shared" si="71"/>
        <v>190.17044492704846</v>
      </c>
      <c r="I75" s="96">
        <f t="shared" si="71"/>
        <v>215.96631204730801</v>
      </c>
      <c r="J75" s="96">
        <f t="shared" si="71"/>
        <v>222.4550823537663</v>
      </c>
      <c r="K75" s="96">
        <f t="shared" si="71"/>
        <v>203.08521825170155</v>
      </c>
      <c r="L75" s="96">
        <f t="shared" si="71"/>
        <v>207.41103498013027</v>
      </c>
      <c r="M75" s="96" t="e">
        <f t="shared" si="71"/>
        <v>#DIV/0!</v>
      </c>
      <c r="N75" s="96" t="e">
        <f t="shared" si="71"/>
        <v>#DIV/0!</v>
      </c>
      <c r="O75" s="96" t="e">
        <f t="shared" si="71"/>
        <v>#DIV/0!</v>
      </c>
      <c r="P75" s="96"/>
      <c r="Q75" s="63">
        <f>Q74/Q65</f>
        <v>209.70215434122625</v>
      </c>
      <c r="R75" s="63">
        <f>R74/R65</f>
        <v>200.38229117267295</v>
      </c>
      <c r="S75" s="63">
        <f t="shared" ref="S75" si="72">S74/S65</f>
        <v>210.95054853331212</v>
      </c>
      <c r="T75" s="63" t="e">
        <f>T74/T65</f>
        <v>#DIV/0!</v>
      </c>
      <c r="U75" s="63">
        <f>U74/U65</f>
        <v>206.99937672950762</v>
      </c>
    </row>
    <row r="76" spans="1:21" ht="15" customHeight="1">
      <c r="A76" s="28">
        <v>15</v>
      </c>
      <c r="B76" s="13" t="str">
        <f>B28</f>
        <v>Existing Customer Deferral - Surcharge (Rebate)</v>
      </c>
      <c r="C76" s="28" t="str">
        <f>C28</f>
        <v>(7) - (13)</v>
      </c>
      <c r="D76" s="77">
        <f t="shared" ref="D76:O76" si="73">D67-D74</f>
        <v>-232876.42746663932</v>
      </c>
      <c r="E76" s="189">
        <f t="shared" si="73"/>
        <v>-366139.44030614942</v>
      </c>
      <c r="F76" s="77">
        <f t="shared" si="73"/>
        <v>-177183.71136148646</v>
      </c>
      <c r="G76" s="77">
        <f t="shared" si="73"/>
        <v>-107498.012229505</v>
      </c>
      <c r="H76" s="77">
        <f t="shared" si="73"/>
        <v>160461.02476926055</v>
      </c>
      <c r="I76" s="77">
        <f t="shared" si="73"/>
        <v>-156741.79734436981</v>
      </c>
      <c r="J76" s="77">
        <f t="shared" si="73"/>
        <v>-329685.73358931113</v>
      </c>
      <c r="K76" s="77">
        <f t="shared" si="73"/>
        <v>53763.333154479042</v>
      </c>
      <c r="L76" s="77">
        <f t="shared" si="73"/>
        <v>-601078.84106908832</v>
      </c>
      <c r="M76" s="77">
        <f t="shared" si="73"/>
        <v>0</v>
      </c>
      <c r="N76" s="77">
        <f t="shared" si="73"/>
        <v>0</v>
      </c>
      <c r="O76" s="77">
        <f t="shared" si="73"/>
        <v>0</v>
      </c>
      <c r="P76" s="77"/>
      <c r="Q76" s="56">
        <f>SUM(D76:F76)</f>
        <v>-776199.57913427521</v>
      </c>
      <c r="R76" s="56">
        <f>SUM(G76:I76)</f>
        <v>-103778.78480461426</v>
      </c>
      <c r="S76" s="56">
        <f>SUM(J76:L76)</f>
        <v>-877001.24150392041</v>
      </c>
      <c r="T76" s="56">
        <f>SUM(M76:O76)</f>
        <v>0</v>
      </c>
      <c r="U76" s="61">
        <f>SUM(D76:O76)</f>
        <v>-1756979.6054428099</v>
      </c>
    </row>
    <row r="77" spans="1:21" ht="15" customHeight="1">
      <c r="A77" s="28"/>
      <c r="B77" s="13"/>
      <c r="C77" s="28"/>
      <c r="D77" s="77"/>
      <c r="E77" s="189"/>
      <c r="F77" s="77"/>
      <c r="G77" s="77"/>
      <c r="H77" s="77"/>
      <c r="I77" s="77"/>
      <c r="J77" s="77"/>
      <c r="K77" s="77"/>
      <c r="L77" s="77"/>
      <c r="M77" s="77"/>
      <c r="N77" s="77"/>
      <c r="O77" s="77"/>
      <c r="P77" s="77"/>
      <c r="Q77" s="56"/>
      <c r="R77" s="56"/>
      <c r="S77" s="56"/>
      <c r="T77" s="56"/>
      <c r="U77" s="61"/>
    </row>
    <row r="78" spans="1:21" ht="15" customHeight="1">
      <c r="A78" s="28"/>
      <c r="B78" s="71" t="str">
        <f>B30</f>
        <v>New Customers</v>
      </c>
      <c r="C78" s="28"/>
      <c r="D78" s="77"/>
      <c r="E78" s="189"/>
      <c r="F78" s="77"/>
      <c r="G78" s="77"/>
      <c r="H78" s="77"/>
      <c r="I78" s="77"/>
      <c r="J78" s="77"/>
      <c r="K78" s="77"/>
      <c r="L78" s="77"/>
      <c r="M78" s="77"/>
      <c r="N78" s="77"/>
      <c r="O78" s="77"/>
      <c r="P78" s="77"/>
      <c r="Q78" s="31"/>
      <c r="R78" s="31"/>
    </row>
    <row r="79" spans="1:21" ht="15" customHeight="1">
      <c r="A79" s="28">
        <v>16</v>
      </c>
      <c r="B79" s="13" t="str">
        <f>B31</f>
        <v>Actual Customers New Since Test Year</v>
      </c>
      <c r="C79" s="28" t="str">
        <f>C31</f>
        <v>Revenue Reports</v>
      </c>
      <c r="D79" s="94">
        <v>2087</v>
      </c>
      <c r="E79" s="203">
        <v>2139</v>
      </c>
      <c r="F79" s="94">
        <v>1610</v>
      </c>
      <c r="G79" s="94">
        <v>1650</v>
      </c>
      <c r="H79" s="94">
        <v>1724</v>
      </c>
      <c r="I79" s="94">
        <v>1781</v>
      </c>
      <c r="J79" s="94">
        <v>1841</v>
      </c>
      <c r="K79" s="94">
        <v>1773</v>
      </c>
      <c r="L79" s="94">
        <v>1857</v>
      </c>
      <c r="M79" s="94">
        <v>0</v>
      </c>
      <c r="N79" s="94">
        <v>0</v>
      </c>
      <c r="O79" s="94">
        <v>0</v>
      </c>
      <c r="P79" s="94"/>
      <c r="Q79" s="59">
        <f>SUM(D79:F79)</f>
        <v>5836</v>
      </c>
      <c r="R79" s="59">
        <f>SUM(G79:I79)</f>
        <v>5155</v>
      </c>
      <c r="S79" s="59">
        <f>SUM(J79:L79)</f>
        <v>5471</v>
      </c>
      <c r="T79" s="59">
        <f>SUM(M79:O79)</f>
        <v>0</v>
      </c>
      <c r="U79" s="60">
        <f>SUM(D79:O79)</f>
        <v>16462</v>
      </c>
    </row>
    <row r="80" spans="1:21" ht="15" customHeight="1">
      <c r="A80" s="28">
        <v>17</v>
      </c>
      <c r="B80" s="13" t="str">
        <f>B32</f>
        <v>Monthly Fixed Cost Adj. Revenue per Customer</v>
      </c>
      <c r="C80" s="28" t="str">
        <f>C32</f>
        <v>Page 3</v>
      </c>
      <c r="D80" s="75">
        <v>115.65116206700289</v>
      </c>
      <c r="E80" s="188">
        <v>107.38739421371538</v>
      </c>
      <c r="F80" s="75">
        <v>105.26536216718819</v>
      </c>
      <c r="G80" s="75">
        <v>109.43505415472252</v>
      </c>
      <c r="H80" s="75">
        <v>113.07410139553274</v>
      </c>
      <c r="I80" s="75">
        <v>120.2911588635116</v>
      </c>
      <c r="J80" s="75">
        <v>119.83527469654172</v>
      </c>
      <c r="K80" s="75">
        <v>117.92805324422734</v>
      </c>
      <c r="L80" s="75">
        <v>104.98004680449461</v>
      </c>
      <c r="M80" s="75">
        <v>109.46802371926432</v>
      </c>
      <c r="N80" s="75">
        <v>107.03805828970864</v>
      </c>
      <c r="O80" s="75">
        <v>111.61824412646367</v>
      </c>
      <c r="P80" s="75"/>
      <c r="Q80" s="55">
        <f>Q81/Q79</f>
        <v>109.75717007302008</v>
      </c>
      <c r="R80" s="55">
        <f>R81/R79</f>
        <v>114.40274376277493</v>
      </c>
      <c r="S80" s="55">
        <f t="shared" ref="S80" si="74">S81/S79</f>
        <v>114.17494535446809</v>
      </c>
      <c r="T80" s="55" t="e">
        <f>T81/T79</f>
        <v>#DIV/0!</v>
      </c>
      <c r="U80" s="55">
        <f>U81/U79</f>
        <v>112.6801187387647</v>
      </c>
    </row>
    <row r="81" spans="1:29" ht="15" customHeight="1">
      <c r="A81" s="28">
        <v>18</v>
      </c>
      <c r="B81" s="13" t="str">
        <f>B33</f>
        <v>Fixed Cost Adjustment Revenue</v>
      </c>
      <c r="C81" s="28" t="str">
        <f>C33</f>
        <v>(16) x (17)</v>
      </c>
      <c r="D81" s="77">
        <f t="shared" ref="D81:N81" si="75">D79*D80</f>
        <v>241363.97523383502</v>
      </c>
      <c r="E81" s="189">
        <f t="shared" si="75"/>
        <v>229701.6362231372</v>
      </c>
      <c r="F81" s="77">
        <f t="shared" si="75"/>
        <v>169477.23308917298</v>
      </c>
      <c r="G81" s="77">
        <f t="shared" si="75"/>
        <v>180567.83935529215</v>
      </c>
      <c r="H81" s="77">
        <f t="shared" si="75"/>
        <v>194939.75080589842</v>
      </c>
      <c r="I81" s="77">
        <f t="shared" si="75"/>
        <v>214238.55393591415</v>
      </c>
      <c r="J81" s="77">
        <f t="shared" si="75"/>
        <v>220616.7407163333</v>
      </c>
      <c r="K81" s="77">
        <f t="shared" si="75"/>
        <v>209086.43840201508</v>
      </c>
      <c r="L81" s="77">
        <f t="shared" si="75"/>
        <v>194947.94691594649</v>
      </c>
      <c r="M81" s="77">
        <f t="shared" si="75"/>
        <v>0</v>
      </c>
      <c r="N81" s="77">
        <f t="shared" si="75"/>
        <v>0</v>
      </c>
      <c r="O81" s="190">
        <f>O79*O80+0</f>
        <v>0</v>
      </c>
      <c r="P81" s="191"/>
      <c r="Q81" s="56">
        <f>SUM(D81:F81)</f>
        <v>640542.84454614518</v>
      </c>
      <c r="R81" s="56">
        <f>SUM(G81:I81)</f>
        <v>589746.14409710479</v>
      </c>
      <c r="S81" s="56">
        <f>SUM(J81:L81)</f>
        <v>624651.12603429495</v>
      </c>
      <c r="T81" s="56">
        <f>SUM(M81:O81)</f>
        <v>0</v>
      </c>
      <c r="U81" s="61">
        <f>SUM(D81:O81)</f>
        <v>1854940.1146775447</v>
      </c>
    </row>
    <row r="82" spans="1:29" ht="15" customHeight="1">
      <c r="A82" s="28"/>
      <c r="B82" s="13"/>
      <c r="C82" s="28"/>
      <c r="D82" s="78"/>
      <c r="E82" s="192"/>
      <c r="F82" s="78"/>
      <c r="G82" s="78"/>
      <c r="H82" s="78"/>
      <c r="I82" s="78"/>
      <c r="J82" s="78"/>
      <c r="K82" s="78"/>
      <c r="L82" s="78"/>
      <c r="M82" s="78"/>
      <c r="N82" s="78"/>
      <c r="O82" s="78"/>
      <c r="P82" s="78"/>
      <c r="Q82" s="56"/>
      <c r="R82" s="56"/>
      <c r="S82" s="56"/>
      <c r="T82" s="56"/>
      <c r="U82" s="61"/>
    </row>
    <row r="83" spans="1:29" ht="15" customHeight="1">
      <c r="A83" s="28">
        <v>19</v>
      </c>
      <c r="B83" s="13" t="str">
        <f t="shared" ref="B83:C87" si="76">B35</f>
        <v>Actual Base Rate Revenue</v>
      </c>
      <c r="C83" s="28" t="str">
        <f t="shared" si="76"/>
        <v>Revenue Reports</v>
      </c>
      <c r="D83" s="95">
        <v>339952.72</v>
      </c>
      <c r="E83" s="204">
        <v>346065.83</v>
      </c>
      <c r="F83" s="95">
        <v>222265.32</v>
      </c>
      <c r="G83" s="95">
        <v>262879.13</v>
      </c>
      <c r="H83" s="95">
        <v>210630.43</v>
      </c>
      <c r="I83" s="95">
        <v>250333.26</v>
      </c>
      <c r="J83" s="95">
        <v>289088.01999999996</v>
      </c>
      <c r="K83" s="95">
        <v>269258.49</v>
      </c>
      <c r="L83" s="95">
        <v>266424.81</v>
      </c>
      <c r="M83" s="95">
        <v>0</v>
      </c>
      <c r="N83" s="95">
        <v>0</v>
      </c>
      <c r="O83" s="95">
        <v>0</v>
      </c>
      <c r="P83" s="95"/>
      <c r="Q83" s="56">
        <f>SUM(D83:F83)</f>
        <v>908283.87000000011</v>
      </c>
      <c r="R83" s="56">
        <f>SUM(G83:I83)</f>
        <v>723842.82000000007</v>
      </c>
      <c r="S83" s="56">
        <f>SUM(J83:L83)</f>
        <v>824771.32000000007</v>
      </c>
      <c r="T83" s="56">
        <f>SUM(M83:O83)</f>
        <v>0</v>
      </c>
      <c r="U83" s="61">
        <f>SUM(D83:O83)</f>
        <v>2456898.0100000002</v>
      </c>
    </row>
    <row r="84" spans="1:29" ht="15" customHeight="1">
      <c r="A84" s="28">
        <v>20</v>
      </c>
      <c r="B84" s="13" t="str">
        <f t="shared" si="76"/>
        <v>Actual Fixed Charge Revenue</v>
      </c>
      <c r="C84" s="28" t="str">
        <f t="shared" si="76"/>
        <v>Revenue Reports</v>
      </c>
      <c r="D84" s="95">
        <v>32425.21</v>
      </c>
      <c r="E84" s="204">
        <v>32721.609999999997</v>
      </c>
      <c r="F84" s="95">
        <v>24616.22</v>
      </c>
      <c r="G84" s="95">
        <v>26023</v>
      </c>
      <c r="H84" s="95">
        <v>25863.11</v>
      </c>
      <c r="I84" s="95">
        <v>26674.82</v>
      </c>
      <c r="J84" s="95">
        <v>26931.68</v>
      </c>
      <c r="K84" s="95">
        <v>26078.06</v>
      </c>
      <c r="L84" s="95">
        <v>27068.39</v>
      </c>
      <c r="M84" s="95">
        <v>0</v>
      </c>
      <c r="N84" s="95">
        <v>0</v>
      </c>
      <c r="O84" s="95">
        <v>0</v>
      </c>
      <c r="P84" s="95"/>
      <c r="Q84" s="56">
        <f>SUM(D84:F84)</f>
        <v>89763.04</v>
      </c>
      <c r="R84" s="56">
        <f>SUM(G84:I84)</f>
        <v>78560.929999999993</v>
      </c>
      <c r="S84" s="56">
        <f>SUM(J84:L84)</f>
        <v>80078.13</v>
      </c>
      <c r="T84" s="56">
        <f>SUM(M84:O84)</f>
        <v>0</v>
      </c>
      <c r="U84" s="61">
        <f>SUM(D84:O84)</f>
        <v>248402.09999999998</v>
      </c>
    </row>
    <row r="85" spans="1:29" ht="15" customHeight="1">
      <c r="A85" s="28">
        <v>21</v>
      </c>
      <c r="B85" s="13" t="str">
        <f t="shared" si="76"/>
        <v>Actual Usage (kWhs)</v>
      </c>
      <c r="C85" s="28" t="str">
        <f t="shared" si="76"/>
        <v>Revenue Reports</v>
      </c>
      <c r="D85" s="94">
        <v>3736579.8849999998</v>
      </c>
      <c r="E85" s="203">
        <v>3814716.17</v>
      </c>
      <c r="F85" s="94">
        <v>2416063.4900000002</v>
      </c>
      <c r="G85" s="94">
        <v>2813794.3319999999</v>
      </c>
      <c r="H85" s="94">
        <v>2137755.747</v>
      </c>
      <c r="I85" s="94">
        <v>2631003.3800000004</v>
      </c>
      <c r="J85" s="94">
        <v>3101599.9</v>
      </c>
      <c r="K85" s="94">
        <v>2852635.87</v>
      </c>
      <c r="L85" s="94">
        <v>2794112.7479999997</v>
      </c>
      <c r="M85" s="94">
        <v>0</v>
      </c>
      <c r="N85" s="94">
        <v>0</v>
      </c>
      <c r="O85" s="94">
        <v>0</v>
      </c>
      <c r="P85" s="94"/>
      <c r="Q85" s="121">
        <f>SUM(D85:F85)</f>
        <v>9967359.5449999999</v>
      </c>
      <c r="R85" s="121">
        <f>SUM(G85:I85)</f>
        <v>7582553.4590000007</v>
      </c>
      <c r="S85" s="56">
        <f>SUM(J85:L85)</f>
        <v>8748348.5179999992</v>
      </c>
      <c r="T85" s="56">
        <f>SUM(M85:O85)</f>
        <v>0</v>
      </c>
      <c r="U85" s="61">
        <f>SUM(D85:O85)</f>
        <v>26298261.522</v>
      </c>
    </row>
    <row r="86" spans="1:29" ht="15" customHeight="1">
      <c r="A86" s="28">
        <v>22</v>
      </c>
      <c r="B86" s="13" t="str">
        <f t="shared" si="76"/>
        <v>Load Change Adjustment Rate ($/kWh)</v>
      </c>
      <c r="C86" s="28" t="str">
        <f t="shared" si="76"/>
        <v>Page 1</v>
      </c>
      <c r="D86" s="79">
        <f>D72</f>
        <v>2.2120000000000001E-2</v>
      </c>
      <c r="E86" s="194">
        <f t="shared" ref="E86:O86" si="77">E24</f>
        <v>2.2120000000000001E-2</v>
      </c>
      <c r="F86" s="79">
        <f t="shared" si="77"/>
        <v>2.5000000000000001E-2</v>
      </c>
      <c r="G86" s="79">
        <f t="shared" si="77"/>
        <v>2.5000000000000001E-2</v>
      </c>
      <c r="H86" s="79">
        <f t="shared" si="77"/>
        <v>2.5000000000000001E-2</v>
      </c>
      <c r="I86" s="79">
        <f t="shared" si="77"/>
        <v>2.5000000000000001E-2</v>
      </c>
      <c r="J86" s="79">
        <f t="shared" si="77"/>
        <v>2.5000000000000001E-2</v>
      </c>
      <c r="K86" s="79">
        <f t="shared" si="77"/>
        <v>2.5000000000000001E-2</v>
      </c>
      <c r="L86" s="79">
        <f t="shared" si="77"/>
        <v>2.5000000000000001E-2</v>
      </c>
      <c r="M86" s="79">
        <f t="shared" si="77"/>
        <v>2.5000000000000001E-2</v>
      </c>
      <c r="N86" s="79">
        <f t="shared" si="77"/>
        <v>2.5000000000000001E-2</v>
      </c>
      <c r="O86" s="79">
        <f t="shared" si="77"/>
        <v>2.5000000000000001E-2</v>
      </c>
      <c r="P86" s="79"/>
      <c r="Q86" s="79">
        <f t="shared" ref="Q86:U86" si="78">Q87/Q85</f>
        <v>2.2818104931379802E-2</v>
      </c>
      <c r="R86" s="79">
        <f t="shared" si="78"/>
        <v>2.5000000000000001E-2</v>
      </c>
      <c r="S86" s="79">
        <f t="shared" si="78"/>
        <v>2.5000000000000005E-2</v>
      </c>
      <c r="T86" s="79" t="e">
        <f t="shared" si="78"/>
        <v>#DIV/0!</v>
      </c>
      <c r="U86" s="79">
        <f t="shared" si="78"/>
        <v>2.4173035349876384E-2</v>
      </c>
    </row>
    <row r="87" spans="1:29" ht="15" customHeight="1">
      <c r="A87" s="28">
        <v>23</v>
      </c>
      <c r="B87" s="13" t="str">
        <f t="shared" si="76"/>
        <v>Variable Power Supply Revenue</v>
      </c>
      <c r="C87" s="28" t="str">
        <f t="shared" si="76"/>
        <v>(21) x (22)</v>
      </c>
      <c r="D87" s="77">
        <f t="shared" ref="D87:O87" si="79">D85*D86</f>
        <v>82653.147056200003</v>
      </c>
      <c r="E87" s="189">
        <f t="shared" si="79"/>
        <v>84381.521680400008</v>
      </c>
      <c r="F87" s="77">
        <f t="shared" si="79"/>
        <v>60401.587250000011</v>
      </c>
      <c r="G87" s="77">
        <f t="shared" si="79"/>
        <v>70344.858300000007</v>
      </c>
      <c r="H87" s="77">
        <f t="shared" si="79"/>
        <v>53443.893674999999</v>
      </c>
      <c r="I87" s="77">
        <f t="shared" si="79"/>
        <v>65775.084500000012</v>
      </c>
      <c r="J87" s="77">
        <f t="shared" si="79"/>
        <v>77539.997499999998</v>
      </c>
      <c r="K87" s="77">
        <f t="shared" si="79"/>
        <v>71315.89675</v>
      </c>
      <c r="L87" s="77">
        <f t="shared" si="79"/>
        <v>69852.818699999989</v>
      </c>
      <c r="M87" s="77">
        <f t="shared" si="79"/>
        <v>0</v>
      </c>
      <c r="N87" s="77">
        <f t="shared" si="79"/>
        <v>0</v>
      </c>
      <c r="O87" s="77">
        <f t="shared" si="79"/>
        <v>0</v>
      </c>
      <c r="P87" s="77"/>
      <c r="Q87" s="56">
        <f>SUM(D87:F87)</f>
        <v>227436.25598660004</v>
      </c>
      <c r="R87" s="56">
        <f>SUM(G87:I87)</f>
        <v>189563.83647500002</v>
      </c>
      <c r="S87" s="56">
        <f>SUM(J87:L87)</f>
        <v>218708.71295000002</v>
      </c>
      <c r="T87" s="56">
        <f>SUM(M87:O87)</f>
        <v>0</v>
      </c>
      <c r="U87" s="61">
        <f>SUM(D87:O87)</f>
        <v>635708.80541159993</v>
      </c>
    </row>
    <row r="88" spans="1:29" ht="15" customHeight="1">
      <c r="A88" s="28">
        <v>24</v>
      </c>
      <c r="B88" s="13" t="str">
        <f>B40</f>
        <v>Fixed Production and Transmission Rate per kWh</v>
      </c>
      <c r="C88" s="28" t="s">
        <v>95</v>
      </c>
      <c r="D88" s="193">
        <v>2.4840000000000001E-2</v>
      </c>
      <c r="E88" s="194">
        <f t="shared" ref="E88:O88" si="80">D88</f>
        <v>2.4840000000000001E-2</v>
      </c>
      <c r="F88" s="193">
        <v>2.317E-2</v>
      </c>
      <c r="G88" s="79">
        <f t="shared" si="80"/>
        <v>2.317E-2</v>
      </c>
      <c r="H88" s="79">
        <f t="shared" si="80"/>
        <v>2.317E-2</v>
      </c>
      <c r="I88" s="79">
        <f t="shared" si="80"/>
        <v>2.317E-2</v>
      </c>
      <c r="J88" s="79">
        <f t="shared" si="80"/>
        <v>2.317E-2</v>
      </c>
      <c r="K88" s="79">
        <f t="shared" si="80"/>
        <v>2.317E-2</v>
      </c>
      <c r="L88" s="79">
        <f t="shared" si="80"/>
        <v>2.317E-2</v>
      </c>
      <c r="M88" s="79">
        <f t="shared" si="80"/>
        <v>2.317E-2</v>
      </c>
      <c r="N88" s="79">
        <f t="shared" si="80"/>
        <v>2.317E-2</v>
      </c>
      <c r="O88" s="79">
        <f t="shared" si="80"/>
        <v>2.317E-2</v>
      </c>
      <c r="P88" s="79"/>
      <c r="Q88" s="79">
        <f>Q89/Q85</f>
        <v>2.4435196098817967E-2</v>
      </c>
      <c r="R88" s="79">
        <f>R89/R85</f>
        <v>2.317E-2</v>
      </c>
      <c r="S88" s="79">
        <f t="shared" ref="S88" si="81">S89/S85</f>
        <v>2.317E-2</v>
      </c>
      <c r="T88" s="79" t="e">
        <f>T89/T85</f>
        <v>#DIV/0!</v>
      </c>
      <c r="U88" s="79">
        <f>U89/U85</f>
        <v>2.3649524640870292E-2</v>
      </c>
    </row>
    <row r="89" spans="1:29" ht="15" customHeight="1">
      <c r="A89" s="28">
        <v>25</v>
      </c>
      <c r="B89" s="13" t="str">
        <f>B41</f>
        <v>Fixed Production and Transmission Revenue</v>
      </c>
      <c r="C89" s="28" t="str">
        <f>C41</f>
        <v>(23) x (24)</v>
      </c>
      <c r="D89" s="77">
        <f t="shared" ref="D89:O89" si="82">D85*D88</f>
        <v>92816.644343399996</v>
      </c>
      <c r="E89" s="189">
        <f t="shared" si="82"/>
        <v>94757.549662799996</v>
      </c>
      <c r="F89" s="77">
        <f t="shared" si="82"/>
        <v>55980.191063300001</v>
      </c>
      <c r="G89" s="77">
        <f t="shared" si="82"/>
        <v>65195.614672439995</v>
      </c>
      <c r="H89" s="77">
        <f t="shared" si="82"/>
        <v>49531.800657989996</v>
      </c>
      <c r="I89" s="77">
        <f t="shared" si="82"/>
        <v>60960.348314600007</v>
      </c>
      <c r="J89" s="77">
        <f t="shared" si="82"/>
        <v>71864.069682999994</v>
      </c>
      <c r="K89" s="77">
        <f t="shared" si="82"/>
        <v>66095.573107899996</v>
      </c>
      <c r="L89" s="77">
        <f t="shared" si="82"/>
        <v>64739.59237115999</v>
      </c>
      <c r="M89" s="77">
        <f t="shared" si="82"/>
        <v>0</v>
      </c>
      <c r="N89" s="77">
        <f t="shared" si="82"/>
        <v>0</v>
      </c>
      <c r="O89" s="77">
        <f t="shared" si="82"/>
        <v>0</v>
      </c>
      <c r="P89" s="77"/>
      <c r="Q89" s="56">
        <f>SUM(D89:F89)</f>
        <v>243554.38506950001</v>
      </c>
      <c r="R89" s="56">
        <f>SUM(G89:I89)</f>
        <v>175687.76364503001</v>
      </c>
      <c r="S89" s="56">
        <f>SUM(J89:L89)</f>
        <v>202699.23516205998</v>
      </c>
      <c r="T89" s="56">
        <f>SUM(M89:O89)</f>
        <v>0</v>
      </c>
      <c r="U89" s="61">
        <f>SUM(D89:O89)</f>
        <v>621941.38387659006</v>
      </c>
    </row>
    <row r="90" spans="1:29" ht="15" customHeight="1">
      <c r="A90" s="28">
        <v>26</v>
      </c>
      <c r="B90" s="13" t="str">
        <f>B42</f>
        <v>Customer Fixed Cost Adjustment Revenue</v>
      </c>
      <c r="C90" s="28" t="str">
        <f>C42</f>
        <v>(19) - (20) - (23) - (25)</v>
      </c>
      <c r="D90" s="77">
        <f t="shared" ref="D90:O90" si="83">D83-D84-D87-D89</f>
        <v>132057.71860039994</v>
      </c>
      <c r="E90" s="189">
        <f t="shared" si="83"/>
        <v>134205.14865680004</v>
      </c>
      <c r="F90" s="77">
        <f t="shared" si="83"/>
        <v>81267.321686699986</v>
      </c>
      <c r="G90" s="77">
        <f t="shared" si="83"/>
        <v>101315.65702756</v>
      </c>
      <c r="H90" s="77">
        <f t="shared" si="83"/>
        <v>81791.625667010012</v>
      </c>
      <c r="I90" s="77">
        <f t="shared" si="83"/>
        <v>96923.007185399998</v>
      </c>
      <c r="J90" s="77">
        <f t="shared" si="83"/>
        <v>112752.27281699998</v>
      </c>
      <c r="K90" s="77">
        <f t="shared" si="83"/>
        <v>105768.96014209998</v>
      </c>
      <c r="L90" s="77">
        <f t="shared" si="83"/>
        <v>104764.00892883999</v>
      </c>
      <c r="M90" s="77">
        <f t="shared" si="83"/>
        <v>0</v>
      </c>
      <c r="N90" s="77">
        <f t="shared" si="83"/>
        <v>0</v>
      </c>
      <c r="O90" s="77">
        <f t="shared" si="83"/>
        <v>0</v>
      </c>
      <c r="P90" s="77"/>
      <c r="Q90" s="56">
        <f>SUM(D90:F90)</f>
        <v>347530.18894389994</v>
      </c>
      <c r="R90" s="56">
        <f>SUM(G90:I90)</f>
        <v>280030.28987997002</v>
      </c>
      <c r="S90" s="56">
        <f>SUM(J90:L90)</f>
        <v>323285.24188793998</v>
      </c>
      <c r="T90" s="56">
        <f>SUM(M90:O90)</f>
        <v>0</v>
      </c>
      <c r="U90" s="61">
        <f>SUM(D90:O90)</f>
        <v>950845.72071180982</v>
      </c>
    </row>
    <row r="91" spans="1:29" ht="15" customHeight="1">
      <c r="A91" s="28">
        <v>27</v>
      </c>
      <c r="B91" s="3" t="s">
        <v>27</v>
      </c>
      <c r="C91" s="28"/>
      <c r="D91" s="80">
        <f t="shared" ref="D91:O91" si="84">D90/D79</f>
        <v>63.276338572304716</v>
      </c>
      <c r="E91" s="195">
        <f t="shared" si="84"/>
        <v>62.742004982141204</v>
      </c>
      <c r="F91" s="80">
        <f t="shared" si="84"/>
        <v>50.476597320931667</v>
      </c>
      <c r="G91" s="80">
        <f t="shared" si="84"/>
        <v>61.40342850155151</v>
      </c>
      <c r="H91" s="80">
        <f t="shared" si="84"/>
        <v>47.442938321931564</v>
      </c>
      <c r="I91" s="80">
        <f t="shared" si="84"/>
        <v>54.420554287142053</v>
      </c>
      <c r="J91" s="80">
        <f t="shared" si="84"/>
        <v>61.245123746333498</v>
      </c>
      <c r="K91" s="80">
        <f t="shared" si="84"/>
        <v>59.655363870332756</v>
      </c>
      <c r="L91" s="80">
        <f t="shared" si="84"/>
        <v>56.415729094690356</v>
      </c>
      <c r="M91" s="80" t="e">
        <f t="shared" si="84"/>
        <v>#DIV/0!</v>
      </c>
      <c r="N91" s="80" t="e">
        <f t="shared" si="84"/>
        <v>#DIV/0!</v>
      </c>
      <c r="O91" s="80" t="e">
        <f t="shared" si="84"/>
        <v>#DIV/0!</v>
      </c>
      <c r="P91" s="80"/>
      <c r="Q91" s="63">
        <f t="shared" ref="Q91:T91" si="85">Q90/Q79</f>
        <v>59.549381244670997</v>
      </c>
      <c r="R91" s="63">
        <f t="shared" si="85"/>
        <v>54.322073691555772</v>
      </c>
      <c r="S91" s="63">
        <f t="shared" si="85"/>
        <v>59.090704055554738</v>
      </c>
      <c r="T91" s="63" t="e">
        <f t="shared" si="85"/>
        <v>#DIV/0!</v>
      </c>
      <c r="U91" s="63">
        <f>U90/U79</f>
        <v>57.760036490815807</v>
      </c>
      <c r="W91" s="108"/>
      <c r="X91" s="108"/>
      <c r="Y91" s="108"/>
      <c r="Z91" s="108"/>
      <c r="AA91" s="108"/>
      <c r="AB91" s="108"/>
      <c r="AC91" s="108"/>
    </row>
    <row r="92" spans="1:29" ht="15" customHeight="1">
      <c r="A92" s="28">
        <v>28</v>
      </c>
      <c r="B92" s="13" t="str">
        <f>B44</f>
        <v>New Customer Deferral - Surcharge (Rebate)</v>
      </c>
      <c r="C92" s="28" t="str">
        <f>C44</f>
        <v>(7) - (26)</v>
      </c>
      <c r="D92" s="77">
        <f t="shared" ref="D92:O92" si="86">D81-D90</f>
        <v>109306.25663343508</v>
      </c>
      <c r="E92" s="189">
        <f t="shared" si="86"/>
        <v>95496.487566337164</v>
      </c>
      <c r="F92" s="77">
        <f t="shared" si="86"/>
        <v>88209.911402472993</v>
      </c>
      <c r="G92" s="77">
        <f t="shared" si="86"/>
        <v>79252.182327732153</v>
      </c>
      <c r="H92" s="77">
        <f t="shared" si="86"/>
        <v>113148.12513888841</v>
      </c>
      <c r="I92" s="77">
        <f t="shared" si="86"/>
        <v>117315.54675051416</v>
      </c>
      <c r="J92" s="77">
        <f t="shared" si="86"/>
        <v>107864.46789933332</v>
      </c>
      <c r="K92" s="77">
        <f t="shared" si="86"/>
        <v>103317.47825991509</v>
      </c>
      <c r="L92" s="77">
        <f t="shared" si="86"/>
        <v>90183.937987106503</v>
      </c>
      <c r="M92" s="77">
        <f t="shared" si="86"/>
        <v>0</v>
      </c>
      <c r="N92" s="77">
        <f t="shared" si="86"/>
        <v>0</v>
      </c>
      <c r="O92" s="77">
        <f t="shared" si="86"/>
        <v>0</v>
      </c>
      <c r="P92" s="77"/>
      <c r="Q92" s="56">
        <f>SUM(D92:F92)</f>
        <v>293012.65560224524</v>
      </c>
      <c r="R92" s="56">
        <f>SUM(G92:I92)</f>
        <v>309715.85421713477</v>
      </c>
      <c r="S92" s="56">
        <f>SUM(J92:L92)</f>
        <v>301365.88414635492</v>
      </c>
      <c r="T92" s="56">
        <f>SUM(M92:O92)</f>
        <v>0</v>
      </c>
      <c r="U92" s="61">
        <f>SUM(D92:O92)</f>
        <v>904094.39396573498</v>
      </c>
    </row>
    <row r="93" spans="1:29" ht="15" customHeight="1">
      <c r="A93" s="28"/>
      <c r="B93" s="13"/>
      <c r="C93" s="28"/>
      <c r="D93" s="77"/>
      <c r="E93" s="189"/>
      <c r="F93" s="77"/>
      <c r="G93" s="77"/>
      <c r="H93" s="77"/>
      <c r="I93" s="77"/>
      <c r="J93" s="77"/>
      <c r="K93" s="77"/>
      <c r="L93" s="77"/>
      <c r="M93" s="77"/>
      <c r="N93" s="77"/>
      <c r="O93" s="77"/>
      <c r="P93" s="77"/>
      <c r="Q93" s="31"/>
      <c r="R93" s="31"/>
    </row>
    <row r="94" spans="1:29" ht="15" customHeight="1">
      <c r="A94" s="82">
        <v>29</v>
      </c>
      <c r="B94" s="83" t="s">
        <v>96</v>
      </c>
      <c r="C94" s="82" t="str">
        <f>C46</f>
        <v>(15) + (28)</v>
      </c>
      <c r="D94" s="84">
        <f t="shared" ref="D94:O94" si="87">D76+D92</f>
        <v>-123570.17083320423</v>
      </c>
      <c r="E94" s="196">
        <f t="shared" si="87"/>
        <v>-270642.95273981226</v>
      </c>
      <c r="F94" s="84">
        <f t="shared" si="87"/>
        <v>-88973.799959013471</v>
      </c>
      <c r="G94" s="84">
        <f t="shared" si="87"/>
        <v>-28245.829901772842</v>
      </c>
      <c r="H94" s="84">
        <f t="shared" si="87"/>
        <v>273609.14990814897</v>
      </c>
      <c r="I94" s="84">
        <f t="shared" si="87"/>
        <v>-39426.250593855657</v>
      </c>
      <c r="J94" s="84">
        <f t="shared" si="87"/>
        <v>-221821.26568997779</v>
      </c>
      <c r="K94" s="84">
        <f t="shared" si="87"/>
        <v>157080.81141439412</v>
      </c>
      <c r="L94" s="84">
        <f t="shared" si="87"/>
        <v>-510894.90308198181</v>
      </c>
      <c r="M94" s="84">
        <f t="shared" si="87"/>
        <v>0</v>
      </c>
      <c r="N94" s="84">
        <f t="shared" si="87"/>
        <v>0</v>
      </c>
      <c r="O94" s="84">
        <f t="shared" si="87"/>
        <v>0</v>
      </c>
      <c r="P94" s="84"/>
      <c r="Q94" s="84">
        <f>SUM(D94:F94)</f>
        <v>-483186.92353202996</v>
      </c>
      <c r="R94" s="84">
        <f>SUM(G94:I94)</f>
        <v>205937.06941252048</v>
      </c>
      <c r="S94" s="84">
        <f>SUM(J94:L94)</f>
        <v>-575635.35735756555</v>
      </c>
      <c r="T94" s="84">
        <f>SUM(M94:O94)</f>
        <v>0</v>
      </c>
      <c r="U94" s="84">
        <f>SUM(D94:O94)</f>
        <v>-852885.211477075</v>
      </c>
    </row>
    <row r="95" spans="1:29" ht="15" customHeight="1">
      <c r="A95" s="82">
        <v>30</v>
      </c>
      <c r="B95" s="83" t="str">
        <f>B47</f>
        <v>Deferral - Revenue Related Expenses</v>
      </c>
      <c r="C95" s="82" t="str">
        <f>C47</f>
        <v>Rev Conv Factor</v>
      </c>
      <c r="D95" s="84">
        <f>D94*-D$106</f>
        <v>673.58100121179632</v>
      </c>
      <c r="E95" s="196">
        <f>E94*-E$106</f>
        <v>1475.2747353847167</v>
      </c>
      <c r="F95" s="84">
        <f>F94*-F$106</f>
        <v>387.39192502154469</v>
      </c>
      <c r="G95" s="84">
        <f>G94*-G$106</f>
        <v>122.98234339231897</v>
      </c>
      <c r="H95" s="84">
        <f t="shared" ref="H95:O95" si="88">H94*-H$106</f>
        <v>-1191.2942387000808</v>
      </c>
      <c r="I95" s="84">
        <f t="shared" si="88"/>
        <v>171.66189508564753</v>
      </c>
      <c r="J95" s="84">
        <f t="shared" si="88"/>
        <v>965.80979081416342</v>
      </c>
      <c r="K95" s="84">
        <f t="shared" si="88"/>
        <v>-683.92985289827209</v>
      </c>
      <c r="L95" s="84">
        <f t="shared" si="88"/>
        <v>2224.4364080189489</v>
      </c>
      <c r="M95" s="84">
        <f t="shared" si="88"/>
        <v>0</v>
      </c>
      <c r="N95" s="84">
        <f t="shared" si="88"/>
        <v>0</v>
      </c>
      <c r="O95" s="84">
        <f t="shared" si="88"/>
        <v>0</v>
      </c>
      <c r="P95" s="84"/>
      <c r="Q95" s="84">
        <f>SUM(D95:F95)</f>
        <v>2536.2476616180575</v>
      </c>
      <c r="R95" s="84">
        <f>SUM(G95:I95)</f>
        <v>-896.65000022211439</v>
      </c>
      <c r="S95" s="84">
        <f>SUM(J95:L95)</f>
        <v>2506.3163459348402</v>
      </c>
      <c r="T95" s="84">
        <f>SUM(M95:O95)</f>
        <v>0</v>
      </c>
      <c r="U95" s="84">
        <f>SUM(D95:O95)</f>
        <v>4145.9140073307826</v>
      </c>
    </row>
    <row r="96" spans="1:29" ht="15" customHeight="1">
      <c r="A96" s="28">
        <v>31</v>
      </c>
      <c r="B96" s="13"/>
      <c r="C96" s="3" t="str">
        <f>C48</f>
        <v>Customer Deposit Rate</v>
      </c>
      <c r="D96" s="87">
        <f t="shared" ref="D96:O96" si="89">D48</f>
        <v>0.01</v>
      </c>
      <c r="E96" s="198">
        <f t="shared" si="89"/>
        <v>0.01</v>
      </c>
      <c r="F96" s="87">
        <f t="shared" si="89"/>
        <v>0.01</v>
      </c>
      <c r="G96" s="87">
        <f t="shared" si="89"/>
        <v>0.01</v>
      </c>
      <c r="H96" s="87">
        <f t="shared" si="89"/>
        <v>0.01</v>
      </c>
      <c r="I96" s="87">
        <f t="shared" si="89"/>
        <v>0.01</v>
      </c>
      <c r="J96" s="87">
        <f t="shared" si="89"/>
        <v>0.01</v>
      </c>
      <c r="K96" s="87">
        <f t="shared" si="89"/>
        <v>0.01</v>
      </c>
      <c r="L96" s="87">
        <f t="shared" si="89"/>
        <v>0.01</v>
      </c>
      <c r="M96" s="87">
        <f t="shared" si="89"/>
        <v>0</v>
      </c>
      <c r="N96" s="87">
        <f t="shared" si="89"/>
        <v>0</v>
      </c>
      <c r="O96" s="87">
        <f t="shared" si="89"/>
        <v>0</v>
      </c>
      <c r="P96" s="87"/>
      <c r="Q96" s="31"/>
      <c r="R96" s="31"/>
    </row>
    <row r="97" spans="1:21" ht="15" customHeight="1">
      <c r="A97" s="82">
        <v>32</v>
      </c>
      <c r="B97" s="83" t="str">
        <f>B49</f>
        <v>Interest on Deferral</v>
      </c>
      <c r="C97" s="82" t="str">
        <f>C49</f>
        <v>Avg Balance Calc</v>
      </c>
      <c r="D97" s="199">
        <f>(0+(D94+D95)/2)*D96/12</f>
        <v>-51.206912429996841</v>
      </c>
      <c r="E97" s="200">
        <f t="shared" ref="E97:O97" si="90">(D100+(E94+E95)/2)*E96/12</f>
        <v>-214.60969645553018</v>
      </c>
      <c r="F97" s="88">
        <f t="shared" si="90"/>
        <v>-363.85274038525125</v>
      </c>
      <c r="G97" s="88">
        <f t="shared" si="90"/>
        <v>-412.78480749906089</v>
      </c>
      <c r="H97" s="88">
        <f>(G100+(H94+H95)/2)*H96/12</f>
        <v>-311.33920812569824</v>
      </c>
      <c r="I97" s="88">
        <f t="shared" si="90"/>
        <v>-214.44729622802006</v>
      </c>
      <c r="J97" s="88">
        <f t="shared" si="90"/>
        <v>-323.00518755734913</v>
      </c>
      <c r="K97" s="88">
        <f t="shared" si="90"/>
        <v>-350.13209785434191</v>
      </c>
      <c r="L97" s="88">
        <f t="shared" si="90"/>
        <v>-497.20453506608175</v>
      </c>
      <c r="M97" s="88">
        <f t="shared" si="90"/>
        <v>0</v>
      </c>
      <c r="N97" s="88">
        <f t="shared" si="90"/>
        <v>0</v>
      </c>
      <c r="O97" s="88">
        <f t="shared" si="90"/>
        <v>0</v>
      </c>
      <c r="P97" s="88"/>
      <c r="Q97" s="88">
        <f>SUM(D97:F97)</f>
        <v>-629.6693492707783</v>
      </c>
      <c r="R97" s="88">
        <f>SUM(G97:I97)</f>
        <v>-938.5713118527791</v>
      </c>
      <c r="S97" s="88">
        <f>SUM(J97:L97)</f>
        <v>-1170.3418204777727</v>
      </c>
      <c r="T97" s="88">
        <f>SUM(M97:O97)</f>
        <v>0</v>
      </c>
      <c r="U97" s="88">
        <f>SUM(D97:O97)</f>
        <v>-2738.5824816013305</v>
      </c>
    </row>
    <row r="98" spans="1:21" ht="15" customHeight="1">
      <c r="A98" s="89">
        <v>33</v>
      </c>
      <c r="B98" s="90" t="s">
        <v>29</v>
      </c>
      <c r="C98" s="89"/>
      <c r="D98" s="92">
        <f t="shared" ref="D98:O98" si="91">D94+D95+D97</f>
        <v>-122947.79674442243</v>
      </c>
      <c r="E98" s="201">
        <f t="shared" si="91"/>
        <v>-269382.28770088305</v>
      </c>
      <c r="F98" s="92">
        <f t="shared" si="91"/>
        <v>-88950.26077437718</v>
      </c>
      <c r="G98" s="92">
        <f t="shared" si="91"/>
        <v>-28535.632365879585</v>
      </c>
      <c r="H98" s="92">
        <f t="shared" si="91"/>
        <v>272106.51646132319</v>
      </c>
      <c r="I98" s="92">
        <f t="shared" si="91"/>
        <v>-39469.035994998027</v>
      </c>
      <c r="J98" s="92">
        <f t="shared" si="91"/>
        <v>-221178.46108672098</v>
      </c>
      <c r="K98" s="92">
        <f t="shared" si="91"/>
        <v>156046.74946364152</v>
      </c>
      <c r="L98" s="92">
        <f t="shared" si="91"/>
        <v>-509167.67120902898</v>
      </c>
      <c r="M98" s="92">
        <f t="shared" si="91"/>
        <v>0</v>
      </c>
      <c r="N98" s="92">
        <f t="shared" si="91"/>
        <v>0</v>
      </c>
      <c r="O98" s="92">
        <f t="shared" si="91"/>
        <v>0</v>
      </c>
      <c r="P98" s="92"/>
      <c r="Q98" s="92">
        <f t="shared" ref="Q98:R98" si="92">Q94+Q95+Q97</f>
        <v>-481280.34521968267</v>
      </c>
      <c r="R98" s="92">
        <f t="shared" si="92"/>
        <v>204101.84810044558</v>
      </c>
      <c r="S98" s="92">
        <f>S94+S95+S97</f>
        <v>-574299.38283210841</v>
      </c>
      <c r="T98" s="92">
        <f>T94+T95+T97</f>
        <v>0</v>
      </c>
      <c r="U98" s="92">
        <f>U94+U95+U97</f>
        <v>-851477.8799513455</v>
      </c>
    </row>
    <row r="99" spans="1:21" ht="15" customHeight="1">
      <c r="A99" s="28"/>
      <c r="B99" s="13"/>
      <c r="C99" s="28"/>
      <c r="D99" s="78"/>
      <c r="E99" s="192"/>
      <c r="F99" s="78"/>
      <c r="G99" s="78"/>
      <c r="H99" s="78"/>
      <c r="I99" s="78"/>
      <c r="J99" s="78"/>
      <c r="K99" s="78"/>
      <c r="L99" s="78"/>
      <c r="M99" s="78"/>
      <c r="N99" s="78"/>
      <c r="O99" s="78"/>
      <c r="P99" s="78"/>
    </row>
    <row r="100" spans="1:21" ht="15" customHeight="1">
      <c r="A100" s="74">
        <v>34</v>
      </c>
      <c r="B100" s="13" t="s">
        <v>97</v>
      </c>
      <c r="C100" s="74" t="str">
        <f>C52</f>
        <v>Σ((29), (30), (32))</v>
      </c>
      <c r="D100" s="206">
        <f>0+D94+D95+D97</f>
        <v>-122947.79674442243</v>
      </c>
      <c r="E100" s="207">
        <f t="shared" ref="E100:G100" si="93">D100+E94+E95+E97</f>
        <v>-392330.08444530552</v>
      </c>
      <c r="F100" s="98">
        <f t="shared" si="93"/>
        <v>-481280.34521968273</v>
      </c>
      <c r="G100" s="98">
        <f t="shared" si="93"/>
        <v>-509815.97758556227</v>
      </c>
      <c r="H100" s="98">
        <f>G100+H94+H95+H97</f>
        <v>-237709.46112423908</v>
      </c>
      <c r="I100" s="98">
        <f>H100+I94+I95+I97</f>
        <v>-277178.49711923714</v>
      </c>
      <c r="J100" s="98">
        <f t="shared" ref="J100:O100" si="94">I100+J94+J95+J97</f>
        <v>-498356.95820595813</v>
      </c>
      <c r="K100" s="98">
        <f t="shared" si="94"/>
        <v>-342310.20874231664</v>
      </c>
      <c r="L100" s="98">
        <f t="shared" si="94"/>
        <v>-851477.87995134562</v>
      </c>
      <c r="M100" s="98">
        <f t="shared" si="94"/>
        <v>-851477.87995134562</v>
      </c>
      <c r="N100" s="98">
        <f t="shared" si="94"/>
        <v>-851477.87995134562</v>
      </c>
      <c r="O100" s="98">
        <f t="shared" si="94"/>
        <v>-851477.87995134562</v>
      </c>
      <c r="P100" s="98"/>
    </row>
    <row r="101" spans="1:21" ht="15" customHeight="1">
      <c r="A101" s="28">
        <v>35</v>
      </c>
      <c r="B101" s="13" t="s">
        <v>153</v>
      </c>
      <c r="C101" s="74"/>
      <c r="D101" s="98"/>
      <c r="E101" s="207"/>
      <c r="F101" s="98"/>
      <c r="G101" s="98"/>
      <c r="H101" s="98"/>
      <c r="I101" s="98"/>
      <c r="J101" s="77">
        <f>I100*J96/12</f>
        <v>-230.98208093269761</v>
      </c>
      <c r="K101" s="77">
        <f>J102*K96/12</f>
        <v>-231.17456600014154</v>
      </c>
      <c r="L101" s="77">
        <f t="shared" ref="L101:O101" si="95">K102*L96/12</f>
        <v>-231.3672114718083</v>
      </c>
      <c r="M101" s="77">
        <f t="shared" si="95"/>
        <v>0</v>
      </c>
      <c r="N101" s="77">
        <f t="shared" si="95"/>
        <v>0</v>
      </c>
      <c r="O101" s="77">
        <f t="shared" si="95"/>
        <v>0</v>
      </c>
      <c r="P101" s="77"/>
    </row>
    <row r="102" spans="1:21" ht="15" customHeight="1">
      <c r="A102" s="28">
        <v>36</v>
      </c>
      <c r="B102" s="13" t="s">
        <v>154</v>
      </c>
      <c r="C102" s="74"/>
      <c r="D102" s="98"/>
      <c r="E102" s="207"/>
      <c r="F102" s="98"/>
      <c r="G102" s="98"/>
      <c r="H102" s="98"/>
      <c r="I102" s="98"/>
      <c r="J102" s="77">
        <f>I100+J101</f>
        <v>-277409.47920016985</v>
      </c>
      <c r="K102" s="77">
        <f>J102+K101</f>
        <v>-277640.65376616997</v>
      </c>
      <c r="L102" s="77">
        <f t="shared" ref="L102:O102" si="96">K102+L101</f>
        <v>-277872.02097764181</v>
      </c>
      <c r="M102" s="77">
        <f t="shared" si="96"/>
        <v>-277872.02097764181</v>
      </c>
      <c r="N102" s="77">
        <f t="shared" si="96"/>
        <v>-277872.02097764181</v>
      </c>
      <c r="O102" s="77">
        <f t="shared" si="96"/>
        <v>-277872.02097764181</v>
      </c>
      <c r="P102" s="77"/>
    </row>
    <row r="103" spans="1:21" ht="15" customHeight="1">
      <c r="A103" s="28">
        <v>37</v>
      </c>
      <c r="B103" s="13" t="s">
        <v>155</v>
      </c>
      <c r="C103" s="74"/>
      <c r="D103" s="98"/>
      <c r="E103" s="207"/>
      <c r="F103" s="98"/>
      <c r="G103" s="98"/>
      <c r="H103" s="98"/>
      <c r="I103" s="98"/>
      <c r="J103" s="77">
        <f>J97-J101</f>
        <v>-92.023106624651518</v>
      </c>
      <c r="K103" s="77">
        <f t="shared" ref="K103:O103" si="97">K97-K101</f>
        <v>-118.95753185420037</v>
      </c>
      <c r="L103" s="77">
        <f t="shared" si="97"/>
        <v>-265.83732359427347</v>
      </c>
      <c r="M103" s="77">
        <f t="shared" si="97"/>
        <v>0</v>
      </c>
      <c r="N103" s="77">
        <f t="shared" si="97"/>
        <v>0</v>
      </c>
      <c r="O103" s="77">
        <f t="shared" si="97"/>
        <v>0</v>
      </c>
      <c r="P103" s="77"/>
    </row>
    <row r="104" spans="1:21" ht="15" customHeight="1">
      <c r="A104" s="74">
        <v>38</v>
      </c>
      <c r="B104" s="99" t="s">
        <v>98</v>
      </c>
      <c r="C104" s="64" t="str">
        <f>"Res line("&amp;A$52&amp;") +Non-Res line ("&amp;A100&amp;")"</f>
        <v>Res line(34) +Non-Res line (34)</v>
      </c>
      <c r="D104" s="100">
        <f t="shared" ref="D104:O104" si="98">D52+D100</f>
        <v>-2082451.9480499835</v>
      </c>
      <c r="E104" s="208">
        <f t="shared" si="98"/>
        <v>-2892263.287472357</v>
      </c>
      <c r="F104" s="100">
        <f t="shared" si="98"/>
        <v>-2783007.733689826</v>
      </c>
      <c r="G104" s="100">
        <f t="shared" si="98"/>
        <v>-2800629.8415077394</v>
      </c>
      <c r="H104" s="100">
        <f t="shared" si="98"/>
        <v>-1701095.8781664402</v>
      </c>
      <c r="I104" s="100">
        <f t="shared" si="98"/>
        <v>-1789942.7400788488</v>
      </c>
      <c r="J104" s="100">
        <f t="shared" si="98"/>
        <v>-3448354.6011127848</v>
      </c>
      <c r="K104" s="100">
        <f t="shared" si="98"/>
        <v>-4263476.0796812745</v>
      </c>
      <c r="L104" s="100">
        <f t="shared" si="98"/>
        <v>-5009719.5827106023</v>
      </c>
      <c r="M104" s="100">
        <f t="shared" si="98"/>
        <v>-5009719.5827106023</v>
      </c>
      <c r="N104" s="100">
        <f t="shared" si="98"/>
        <v>-5009719.5827106023</v>
      </c>
      <c r="O104" s="100">
        <f t="shared" si="98"/>
        <v>-5009719.5827106023</v>
      </c>
      <c r="P104" s="100"/>
    </row>
    <row r="105" spans="1:21" ht="15" customHeight="1"/>
    <row r="106" spans="1:21" ht="15" customHeight="1">
      <c r="B106" s="13" t="s">
        <v>156</v>
      </c>
      <c r="D106" s="210">
        <v>5.4510000000000001E-3</v>
      </c>
      <c r="E106">
        <f>D106</f>
        <v>5.4510000000000001E-3</v>
      </c>
      <c r="F106" s="210">
        <v>4.3540000000000002E-3</v>
      </c>
      <c r="G106" s="31">
        <f>F106</f>
        <v>4.3540000000000002E-3</v>
      </c>
      <c r="H106" s="31">
        <f t="shared" ref="H106:O106" si="99">G106</f>
        <v>4.3540000000000002E-3</v>
      </c>
      <c r="I106" s="31">
        <f t="shared" si="99"/>
        <v>4.3540000000000002E-3</v>
      </c>
      <c r="J106" s="31">
        <f t="shared" si="99"/>
        <v>4.3540000000000002E-3</v>
      </c>
      <c r="K106" s="31">
        <f t="shared" si="99"/>
        <v>4.3540000000000002E-3</v>
      </c>
      <c r="L106" s="31">
        <f t="shared" si="99"/>
        <v>4.3540000000000002E-3</v>
      </c>
      <c r="M106" s="31">
        <f t="shared" si="99"/>
        <v>4.3540000000000002E-3</v>
      </c>
      <c r="N106" s="31">
        <f t="shared" si="99"/>
        <v>4.3540000000000002E-3</v>
      </c>
      <c r="O106" s="31">
        <f t="shared" si="99"/>
        <v>4.3540000000000002E-3</v>
      </c>
    </row>
    <row r="107" spans="1:21" ht="15" customHeight="1"/>
    <row r="108" spans="1:21" ht="15" customHeight="1"/>
  </sheetData>
  <mergeCells count="1">
    <mergeCell ref="A6:A7"/>
  </mergeCells>
  <printOptions horizontalCentered="1"/>
  <pageMargins left="0.7" right="0.55000000000000004" top="0.81" bottom="0.47" header="0.39" footer="0.3"/>
  <pageSetup scale="68" fitToHeight="2" orientation="portrait" r:id="rId1"/>
  <headerFooter scaleWithDoc="0">
    <oddHeader>&amp;C&amp;8Avista Corporation Fixed Cost Adjustment Mechanism
Idaho Jurisdiction
Quarterly Report for 1st Quarter 2022</oddHeader>
    <oddFooter>&amp;C&amp;F / &amp;A&amp;RPage &amp;P of 9</oddFooter>
  </headerFooter>
  <rowBreaks count="1" manualBreakCount="1">
    <brk id="55"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40625" defaultRowHeight="15"/>
  <cols>
    <col min="1" max="16384" width="9.140625" style="11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8"/>
  <sheetViews>
    <sheetView zoomScaleNormal="100" zoomScaleSheetLayoutView="95" workbookViewId="0">
      <selection activeCell="X18" sqref="X18"/>
    </sheetView>
  </sheetViews>
  <sheetFormatPr defaultRowHeight="15"/>
  <cols>
    <col min="1" max="1" width="5" customWidth="1"/>
    <col min="2" max="2" width="41.140625" bestFit="1" customWidth="1"/>
    <col min="3" max="3" width="18" bestFit="1" customWidth="1"/>
    <col min="4" max="6" width="10.42578125" hidden="1" customWidth="1"/>
    <col min="7" max="7" width="11" hidden="1" customWidth="1"/>
    <col min="8" max="8" width="10.42578125" hidden="1" customWidth="1"/>
    <col min="9" max="9" width="11.5703125" hidden="1" customWidth="1"/>
    <col min="10" max="12" width="11.5703125" style="31" customWidth="1"/>
    <col min="13" max="15" width="11.5703125" style="31" hidden="1" customWidth="1"/>
    <col min="16" max="16" width="2.7109375" style="31" customWidth="1"/>
    <col min="17" max="17" width="11" hidden="1" customWidth="1"/>
    <col min="18" max="18" width="11.28515625" hidden="1" customWidth="1"/>
    <col min="19" max="19" width="11.5703125" style="31" customWidth="1"/>
    <col min="20" max="20" width="11.28515625" style="31" hidden="1" customWidth="1"/>
    <col min="21" max="21" width="11.85546875" customWidth="1"/>
    <col min="22" max="23" width="12.28515625" bestFit="1" customWidth="1"/>
    <col min="24" max="24" width="11.5703125" customWidth="1"/>
    <col min="25" max="25" width="10.7109375" bestFit="1" customWidth="1"/>
    <col min="26" max="26" width="9.7109375" bestFit="1" customWidth="1"/>
    <col min="27" max="27" width="10" bestFit="1" customWidth="1"/>
    <col min="28" max="28" width="9.7109375" bestFit="1" customWidth="1"/>
  </cols>
  <sheetData>
    <row r="1" spans="1:21" ht="15.75">
      <c r="A1" s="65" t="s">
        <v>0</v>
      </c>
      <c r="B1" s="65"/>
      <c r="C1" s="65"/>
      <c r="D1" s="65"/>
      <c r="E1" s="65"/>
      <c r="F1" s="65"/>
      <c r="G1" s="65"/>
      <c r="H1" s="65"/>
      <c r="I1" s="65"/>
      <c r="J1" s="65"/>
      <c r="K1" s="65"/>
      <c r="L1" s="65"/>
      <c r="M1" s="65"/>
      <c r="N1" s="65"/>
      <c r="O1" s="65"/>
      <c r="P1" s="65"/>
    </row>
    <row r="2" spans="1:21" ht="15.75">
      <c r="A2" s="65" t="s">
        <v>99</v>
      </c>
      <c r="B2" s="65"/>
      <c r="C2" s="65"/>
      <c r="D2" s="65"/>
      <c r="E2" s="65"/>
      <c r="F2" s="65"/>
      <c r="G2" s="65"/>
      <c r="H2" s="65"/>
      <c r="I2" s="65"/>
      <c r="J2" s="65"/>
      <c r="K2" s="65"/>
      <c r="L2" s="65"/>
      <c r="M2" s="65"/>
      <c r="N2" s="65"/>
      <c r="O2" s="65"/>
      <c r="P2" s="65"/>
    </row>
    <row r="3" spans="1:21" ht="15.75">
      <c r="A3" s="66" t="s">
        <v>158</v>
      </c>
      <c r="B3" s="65"/>
      <c r="C3" s="65"/>
      <c r="D3" s="65"/>
      <c r="E3" s="65"/>
      <c r="F3" s="65"/>
      <c r="G3" s="65"/>
      <c r="H3" s="65"/>
      <c r="I3" s="65"/>
      <c r="J3" s="65"/>
      <c r="K3" s="65"/>
      <c r="L3" s="65"/>
      <c r="M3" s="65"/>
      <c r="N3" s="65"/>
      <c r="O3" s="65"/>
      <c r="P3" s="65"/>
    </row>
    <row r="4" spans="1:21" ht="15.6" customHeight="1">
      <c r="A4" s="65" t="s">
        <v>159</v>
      </c>
      <c r="B4" s="51"/>
      <c r="C4" s="51"/>
      <c r="D4" s="69"/>
      <c r="E4" s="69"/>
      <c r="F4" s="69"/>
      <c r="G4" s="69"/>
      <c r="H4" s="69"/>
      <c r="I4" s="69"/>
      <c r="J4" s="145"/>
      <c r="K4" s="69"/>
      <c r="L4" s="69"/>
      <c r="M4" s="69"/>
      <c r="N4" s="69"/>
      <c r="O4" s="69"/>
      <c r="P4" s="69"/>
    </row>
    <row r="5" spans="1:21" s="31" customFormat="1" ht="15.6" customHeight="1">
      <c r="A5" s="65" t="s">
        <v>160</v>
      </c>
      <c r="B5" s="51"/>
      <c r="C5" s="51"/>
      <c r="D5" s="69"/>
      <c r="E5" s="69"/>
      <c r="F5" s="69"/>
      <c r="G5" s="69"/>
      <c r="H5" s="69"/>
      <c r="I5" s="69"/>
      <c r="J5" s="145"/>
      <c r="K5" s="69"/>
      <c r="L5" s="69"/>
      <c r="M5" s="69"/>
      <c r="N5" s="69"/>
      <c r="O5" s="69"/>
      <c r="P5" s="69"/>
    </row>
    <row r="6" spans="1:21" ht="28.9" customHeight="1">
      <c r="A6" s="224" t="s">
        <v>1</v>
      </c>
      <c r="B6" s="13"/>
      <c r="C6" s="13"/>
      <c r="D6" s="3"/>
      <c r="E6" s="3"/>
      <c r="F6" s="3"/>
      <c r="G6" s="3"/>
      <c r="H6" s="3"/>
      <c r="I6" s="3"/>
      <c r="J6" s="140"/>
      <c r="K6" s="140"/>
      <c r="L6" s="140"/>
      <c r="M6" s="3"/>
      <c r="N6" s="3"/>
      <c r="O6" s="3"/>
      <c r="P6" s="3"/>
      <c r="Q6" s="27" t="s">
        <v>148</v>
      </c>
      <c r="R6" s="27" t="s">
        <v>149</v>
      </c>
      <c r="S6" s="27" t="s">
        <v>150</v>
      </c>
      <c r="T6" s="27" t="s">
        <v>151</v>
      </c>
      <c r="U6" s="57" t="s">
        <v>152</v>
      </c>
    </row>
    <row r="7" spans="1:21" ht="13.9" customHeight="1">
      <c r="A7" s="225"/>
      <c r="B7" s="53"/>
      <c r="C7" s="50" t="s">
        <v>2</v>
      </c>
      <c r="D7" s="70">
        <v>44378</v>
      </c>
      <c r="E7" s="70">
        <f t="shared" ref="E7:H7" si="0">EDATE(D7,1)</f>
        <v>44409</v>
      </c>
      <c r="F7" s="70">
        <f t="shared" si="0"/>
        <v>44440</v>
      </c>
      <c r="G7" s="70">
        <f t="shared" si="0"/>
        <v>44470</v>
      </c>
      <c r="H7" s="70">
        <f t="shared" si="0"/>
        <v>44501</v>
      </c>
      <c r="I7" s="70">
        <f>EDATE(H7,1)</f>
        <v>44531</v>
      </c>
      <c r="J7" s="70">
        <f t="shared" ref="J7:O7" si="1">EDATE(I7,1)</f>
        <v>44562</v>
      </c>
      <c r="K7" s="70">
        <f t="shared" si="1"/>
        <v>44593</v>
      </c>
      <c r="L7" s="70">
        <f t="shared" si="1"/>
        <v>44621</v>
      </c>
      <c r="M7" s="70">
        <f t="shared" si="1"/>
        <v>44652</v>
      </c>
      <c r="N7" s="70">
        <f t="shared" si="1"/>
        <v>44682</v>
      </c>
      <c r="O7" s="70">
        <f t="shared" si="1"/>
        <v>44713</v>
      </c>
      <c r="P7" s="70"/>
      <c r="Q7" s="10" t="s">
        <v>3</v>
      </c>
      <c r="R7" s="10" t="s">
        <v>3</v>
      </c>
      <c r="S7" s="10" t="s">
        <v>3</v>
      </c>
      <c r="T7" s="10" t="s">
        <v>3</v>
      </c>
      <c r="U7" s="143">
        <v>44742</v>
      </c>
    </row>
    <row r="8" spans="1:21">
      <c r="A8" s="28"/>
      <c r="B8" s="28" t="s">
        <v>4</v>
      </c>
      <c r="C8" s="28" t="s">
        <v>5</v>
      </c>
      <c r="D8" s="28" t="s">
        <v>12</v>
      </c>
      <c r="E8" s="28" t="s">
        <v>13</v>
      </c>
      <c r="F8" s="28" t="s">
        <v>14</v>
      </c>
      <c r="G8" s="28" t="s">
        <v>15</v>
      </c>
      <c r="H8" s="28" t="s">
        <v>16</v>
      </c>
      <c r="I8" s="28" t="s">
        <v>17</v>
      </c>
      <c r="J8" s="28"/>
      <c r="K8" s="28"/>
      <c r="L8" s="28"/>
      <c r="M8" s="28"/>
      <c r="N8" s="28"/>
      <c r="O8" s="28"/>
      <c r="P8" s="28"/>
      <c r="Q8" s="28" t="s">
        <v>106</v>
      </c>
      <c r="R8" s="28" t="s">
        <v>107</v>
      </c>
      <c r="S8" s="28"/>
      <c r="T8" s="28"/>
      <c r="U8" s="5"/>
    </row>
    <row r="9" spans="1:21" ht="15" customHeight="1">
      <c r="A9" s="28"/>
      <c r="B9" s="1" t="s">
        <v>19</v>
      </c>
      <c r="C9" s="28"/>
      <c r="D9" s="3"/>
      <c r="E9" s="211"/>
      <c r="F9" s="3"/>
      <c r="G9" s="3"/>
      <c r="H9" s="3"/>
      <c r="I9" s="3"/>
      <c r="J9" s="3"/>
      <c r="K9" s="3"/>
      <c r="L9" s="3"/>
      <c r="M9" s="3"/>
      <c r="N9" s="3"/>
      <c r="O9" s="3"/>
      <c r="P9" s="3"/>
      <c r="U9" s="5"/>
    </row>
    <row r="10" spans="1:21" ht="15" customHeight="1">
      <c r="A10" s="28"/>
      <c r="B10" s="71"/>
      <c r="C10" s="28"/>
      <c r="D10" s="3"/>
      <c r="E10" s="211"/>
      <c r="F10" s="3"/>
      <c r="G10" s="3"/>
      <c r="H10" s="3"/>
      <c r="I10" s="3"/>
      <c r="J10" s="3"/>
      <c r="K10" s="3"/>
      <c r="L10" s="3"/>
      <c r="M10" s="3"/>
      <c r="N10" s="3"/>
      <c r="O10" s="3"/>
      <c r="P10" s="3"/>
      <c r="U10" s="60"/>
    </row>
    <row r="11" spans="1:21" ht="15" customHeight="1">
      <c r="A11" s="28">
        <v>1</v>
      </c>
      <c r="B11" s="13" t="s">
        <v>70</v>
      </c>
      <c r="C11" s="28" t="s">
        <v>71</v>
      </c>
      <c r="D11" s="101">
        <v>88760</v>
      </c>
      <c r="E11" s="212">
        <v>88922</v>
      </c>
      <c r="F11" s="101">
        <v>89176</v>
      </c>
      <c r="G11" s="101">
        <v>89465</v>
      </c>
      <c r="H11" s="101">
        <v>89735</v>
      </c>
      <c r="I11" s="101">
        <v>89898</v>
      </c>
      <c r="J11" s="101">
        <v>90226</v>
      </c>
      <c r="K11" s="101">
        <v>90186</v>
      </c>
      <c r="L11" s="101">
        <v>91225</v>
      </c>
      <c r="M11" s="101">
        <v>0</v>
      </c>
      <c r="N11" s="101">
        <v>0</v>
      </c>
      <c r="O11" s="101">
        <v>0</v>
      </c>
      <c r="P11" s="101"/>
      <c r="Q11" s="29">
        <f>SUM(D11:F11)</f>
        <v>266858</v>
      </c>
      <c r="R11" s="29">
        <f>SUM(G11:I11)</f>
        <v>269098</v>
      </c>
      <c r="S11" s="29">
        <f>SUM(J11:L11)</f>
        <v>271637</v>
      </c>
      <c r="T11" s="29">
        <f>SUM(M11:O11)</f>
        <v>0</v>
      </c>
      <c r="U11" s="60">
        <f>SUM(D11:O11)</f>
        <v>807593</v>
      </c>
    </row>
    <row r="12" spans="1:21" ht="15" customHeight="1">
      <c r="A12" s="49">
        <v>2</v>
      </c>
      <c r="B12" s="13" t="s">
        <v>101</v>
      </c>
      <c r="C12" s="28" t="s">
        <v>71</v>
      </c>
      <c r="D12" s="101">
        <v>1033765.9204599999</v>
      </c>
      <c r="E12" s="212">
        <v>1138852.04583</v>
      </c>
      <c r="F12" s="101">
        <v>1659697.0197099999</v>
      </c>
      <c r="G12" s="101">
        <v>4725521.5582499998</v>
      </c>
      <c r="H12" s="101">
        <v>7688685.89078</v>
      </c>
      <c r="I12" s="101">
        <v>11680297.414030001</v>
      </c>
      <c r="J12" s="101">
        <v>11983473.25048</v>
      </c>
      <c r="K12" s="101">
        <v>10247430.0151</v>
      </c>
      <c r="L12" s="101">
        <v>7426724.6190799996</v>
      </c>
      <c r="M12" s="101">
        <v>0</v>
      </c>
      <c r="N12" s="101">
        <v>0</v>
      </c>
      <c r="O12" s="101">
        <v>0</v>
      </c>
      <c r="P12" s="101"/>
      <c r="Q12" s="29">
        <f>SUM(D12:F12)</f>
        <v>3832314.9859999996</v>
      </c>
      <c r="R12" s="29">
        <f>SUM(G12:I12)</f>
        <v>24094504.863060001</v>
      </c>
      <c r="S12" s="29">
        <f>SUM(J12:L12)</f>
        <v>29657627.884659998</v>
      </c>
      <c r="T12" s="29">
        <f>SUM(M12:O12)</f>
        <v>0</v>
      </c>
      <c r="U12" s="60">
        <f>SUM(D12:O12)</f>
        <v>57584447.733719997</v>
      </c>
    </row>
    <row r="13" spans="1:21" ht="15" customHeight="1">
      <c r="A13" s="28">
        <v>3</v>
      </c>
      <c r="B13" s="13" t="s">
        <v>73</v>
      </c>
      <c r="C13" s="28" t="s">
        <v>71</v>
      </c>
      <c r="D13" s="213">
        <v>1013534.60918</v>
      </c>
      <c r="E13" s="214">
        <v>1099180.6219200001</v>
      </c>
      <c r="F13" s="213">
        <v>1200909.4534</v>
      </c>
      <c r="G13" s="213">
        <v>2631984.4325499996</v>
      </c>
      <c r="H13" s="213">
        <v>3880852.8810500004</v>
      </c>
      <c r="I13" s="213">
        <v>5601338.3817499997</v>
      </c>
      <c r="J13" s="213">
        <v>6091160.6265000002</v>
      </c>
      <c r="K13" s="213">
        <v>4747176.40735</v>
      </c>
      <c r="L13" s="213">
        <v>4021135.7979999995</v>
      </c>
      <c r="M13" s="213">
        <v>0</v>
      </c>
      <c r="N13" s="213">
        <v>0</v>
      </c>
      <c r="O13" s="213">
        <v>0</v>
      </c>
      <c r="P13" s="213"/>
      <c r="Q13" s="125">
        <f>SUM(D13:F13)</f>
        <v>3313624.6845</v>
      </c>
      <c r="R13" s="125">
        <f>SUM(G13:I13)</f>
        <v>12114175.695349999</v>
      </c>
      <c r="S13" s="125">
        <f>SUM(J13:L13)</f>
        <v>14859472.83185</v>
      </c>
      <c r="T13" s="29">
        <f>SUM(M13:O13)</f>
        <v>0</v>
      </c>
      <c r="U13" s="60">
        <f>SUM(D13:O13)</f>
        <v>30287273.2117</v>
      </c>
    </row>
    <row r="14" spans="1:21" ht="15" customHeight="1">
      <c r="A14" s="49">
        <v>4</v>
      </c>
      <c r="B14" s="13" t="s">
        <v>74</v>
      </c>
      <c r="C14" s="28" t="s">
        <v>71</v>
      </c>
      <c r="D14" s="213">
        <v>534984.4</v>
      </c>
      <c r="E14" s="214">
        <v>536251.4</v>
      </c>
      <c r="F14" s="213">
        <v>537338.6</v>
      </c>
      <c r="G14" s="213">
        <v>538683.6</v>
      </c>
      <c r="H14" s="213">
        <v>539769.59999999998</v>
      </c>
      <c r="I14" s="213">
        <v>541199.80000000005</v>
      </c>
      <c r="J14" s="213">
        <v>522958</v>
      </c>
      <c r="K14" s="213">
        <v>531513.19999999995</v>
      </c>
      <c r="L14" s="213">
        <v>581353.4</v>
      </c>
      <c r="M14" s="213">
        <v>0</v>
      </c>
      <c r="N14" s="213">
        <v>0</v>
      </c>
      <c r="O14" s="213">
        <v>0</v>
      </c>
      <c r="P14" s="213"/>
      <c r="Q14" s="125">
        <f>SUM(D14:F14)</f>
        <v>1608574.4</v>
      </c>
      <c r="R14" s="125">
        <f>SUM(G14:I14)</f>
        <v>1619653</v>
      </c>
      <c r="S14" s="125">
        <f>SUM(J14:L14)</f>
        <v>1635824.6</v>
      </c>
      <c r="T14" s="29">
        <f>SUM(M14:O14)</f>
        <v>0</v>
      </c>
      <c r="U14" s="60">
        <f>SUM(D14:O14)</f>
        <v>4864052.0000000009</v>
      </c>
    </row>
    <row r="15" spans="1:21" ht="15" customHeight="1">
      <c r="A15" s="28">
        <v>5</v>
      </c>
      <c r="B15" s="13"/>
      <c r="C15" s="28"/>
      <c r="D15" s="73"/>
      <c r="E15" s="187"/>
      <c r="F15" s="73"/>
      <c r="G15" s="73"/>
      <c r="H15" s="73"/>
      <c r="I15" s="73"/>
      <c r="J15" s="73"/>
      <c r="K15" s="73"/>
      <c r="L15" s="73"/>
      <c r="M15" s="73"/>
      <c r="N15" s="73"/>
      <c r="O15" s="73"/>
      <c r="P15" s="73"/>
      <c r="Q15" s="29"/>
      <c r="R15" s="29"/>
      <c r="S15" s="29"/>
      <c r="T15" s="29"/>
      <c r="U15" s="60"/>
    </row>
    <row r="16" spans="1:21" ht="15" customHeight="1">
      <c r="A16" s="49">
        <v>6</v>
      </c>
      <c r="B16" s="71" t="s">
        <v>75</v>
      </c>
      <c r="C16" s="28"/>
      <c r="D16" s="73"/>
      <c r="E16" s="187"/>
      <c r="F16" s="73"/>
      <c r="G16" s="73"/>
      <c r="H16" s="73"/>
      <c r="I16" s="73"/>
      <c r="J16" s="73"/>
      <c r="K16" s="73"/>
      <c r="L16" s="73"/>
      <c r="M16" s="73"/>
      <c r="N16" s="73"/>
      <c r="O16" s="73"/>
      <c r="P16" s="73"/>
      <c r="Q16" s="29"/>
      <c r="R16" s="29"/>
      <c r="S16" s="29"/>
      <c r="T16" s="29"/>
      <c r="U16" s="60"/>
    </row>
    <row r="17" spans="1:24" ht="15" customHeight="1">
      <c r="A17" s="28">
        <v>7</v>
      </c>
      <c r="B17" s="13" t="s">
        <v>76</v>
      </c>
      <c r="C17" s="28" t="str">
        <f>"("&amp;A11&amp;") - ("&amp;A32&amp;")"</f>
        <v>(1) - (22)</v>
      </c>
      <c r="D17" s="73">
        <f t="shared" ref="D17:O17" si="2">D11-D32</f>
        <v>78571</v>
      </c>
      <c r="E17" s="187">
        <f t="shared" si="2"/>
        <v>78517</v>
      </c>
      <c r="F17" s="73">
        <f t="shared" si="2"/>
        <v>84804</v>
      </c>
      <c r="G17" s="73">
        <f t="shared" si="2"/>
        <v>84875</v>
      </c>
      <c r="H17" s="73">
        <f t="shared" si="2"/>
        <v>84850</v>
      </c>
      <c r="I17" s="73">
        <f t="shared" si="2"/>
        <v>84827</v>
      </c>
      <c r="J17" s="73">
        <f t="shared" si="2"/>
        <v>84980</v>
      </c>
      <c r="K17" s="73">
        <f t="shared" si="2"/>
        <v>85222</v>
      </c>
      <c r="L17" s="73">
        <f t="shared" si="2"/>
        <v>85737</v>
      </c>
      <c r="M17" s="73">
        <f t="shared" si="2"/>
        <v>0</v>
      </c>
      <c r="N17" s="73">
        <f t="shared" si="2"/>
        <v>0</v>
      </c>
      <c r="O17" s="73">
        <f t="shared" si="2"/>
        <v>0</v>
      </c>
      <c r="P17" s="73"/>
      <c r="Q17" s="29">
        <f>SUM(D17:F17)</f>
        <v>241892</v>
      </c>
      <c r="R17" s="29">
        <f>SUM(G17:I17)</f>
        <v>254552</v>
      </c>
      <c r="S17" s="29">
        <f>SUM(J17:L17)</f>
        <v>255939</v>
      </c>
      <c r="T17" s="29">
        <f>SUM(M17:O17)</f>
        <v>0</v>
      </c>
      <c r="U17" s="60">
        <f>SUM(D17:O17)</f>
        <v>752383</v>
      </c>
      <c r="W17" s="111"/>
    </row>
    <row r="18" spans="1:24" ht="15" customHeight="1">
      <c r="A18" s="49">
        <v>8</v>
      </c>
      <c r="B18" s="68" t="s">
        <v>157</v>
      </c>
      <c r="C18" s="74" t="s">
        <v>78</v>
      </c>
      <c r="D18" s="75">
        <v>7.0530857900796713</v>
      </c>
      <c r="E18" s="188">
        <v>6.9750772948320625</v>
      </c>
      <c r="F18" s="75">
        <v>7.5333251953925622</v>
      </c>
      <c r="G18" s="75">
        <v>26.91180553203575</v>
      </c>
      <c r="H18" s="75">
        <v>45.181844417843337</v>
      </c>
      <c r="I18" s="75">
        <v>55.387945780713309</v>
      </c>
      <c r="J18" s="75">
        <v>53.700342487075673</v>
      </c>
      <c r="K18" s="75">
        <v>48.102787636448284</v>
      </c>
      <c r="L18" s="75">
        <v>35.204360713391715</v>
      </c>
      <c r="M18" s="75">
        <v>25.084237075605561</v>
      </c>
      <c r="N18" s="75">
        <v>16.295001985876311</v>
      </c>
      <c r="O18" s="75">
        <v>9.4555014859253124</v>
      </c>
      <c r="P18" s="75"/>
      <c r="Q18" s="67">
        <f>Q19/Q17</f>
        <v>7.196129915171853</v>
      </c>
      <c r="R18" s="67">
        <f>R19/R17</f>
        <v>42.491169859699035</v>
      </c>
      <c r="S18" s="67">
        <f t="shared" ref="S18:T18" si="3">S19/S17</f>
        <v>45.640512571312506</v>
      </c>
      <c r="T18" s="67" t="e">
        <f t="shared" si="3"/>
        <v>#DIV/0!</v>
      </c>
      <c r="U18" s="55">
        <f t="shared" ref="U18" si="4">U19/U17</f>
        <v>32.215089488406846</v>
      </c>
      <c r="X18" s="111"/>
    </row>
    <row r="19" spans="1:24" ht="15" customHeight="1">
      <c r="A19" s="28">
        <v>9</v>
      </c>
      <c r="B19" s="13" t="s">
        <v>79</v>
      </c>
      <c r="C19" s="28" t="str">
        <f>"("&amp;A17&amp;") x ("&amp;A18&amp;")"</f>
        <v>(7) x (8)</v>
      </c>
      <c r="D19" s="77">
        <f t="shared" ref="D19:H19" si="5">D17*D18</f>
        <v>554168.00361234986</v>
      </c>
      <c r="E19" s="189">
        <f t="shared" si="5"/>
        <v>547662.14395832911</v>
      </c>
      <c r="F19" s="77">
        <f t="shared" si="5"/>
        <v>638856.10987007082</v>
      </c>
      <c r="G19" s="77">
        <f t="shared" si="5"/>
        <v>2284139.4945315341</v>
      </c>
      <c r="H19" s="77">
        <f t="shared" si="5"/>
        <v>3833679.4988540071</v>
      </c>
      <c r="I19" s="77">
        <f>I17*I18</f>
        <v>4698393.2767405678</v>
      </c>
      <c r="J19" s="77">
        <f t="shared" ref="J19:N19" si="6">J17*J18</f>
        <v>4563455.1045516906</v>
      </c>
      <c r="K19" s="77">
        <f t="shared" si="6"/>
        <v>4099415.7679533958</v>
      </c>
      <c r="L19" s="77">
        <f t="shared" si="6"/>
        <v>3018316.2744840654</v>
      </c>
      <c r="M19" s="77">
        <f t="shared" si="6"/>
        <v>0</v>
      </c>
      <c r="N19" s="77">
        <f t="shared" si="6"/>
        <v>0</v>
      </c>
      <c r="O19" s="222">
        <f>O17*O18+0</f>
        <v>0</v>
      </c>
      <c r="P19" s="77"/>
      <c r="Q19" s="30">
        <f>SUM(D19:F19)</f>
        <v>1740686.2574407498</v>
      </c>
      <c r="R19" s="30">
        <f>SUM(G19:I19)</f>
        <v>10816212.270126108</v>
      </c>
      <c r="S19" s="30">
        <f>SUM(J19:L19)</f>
        <v>11681187.146989152</v>
      </c>
      <c r="T19" s="30">
        <f>SUM(M19:O19)</f>
        <v>0</v>
      </c>
      <c r="U19" s="61">
        <f>SUM(D19:O19)</f>
        <v>24238085.674556009</v>
      </c>
      <c r="W19" s="111"/>
    </row>
    <row r="20" spans="1:24" ht="15" customHeight="1">
      <c r="A20" s="49">
        <v>10</v>
      </c>
      <c r="B20" s="13"/>
      <c r="C20" s="28"/>
      <c r="D20" s="78"/>
      <c r="E20" s="192"/>
      <c r="F20" s="78"/>
      <c r="G20" s="78"/>
      <c r="H20" s="78"/>
      <c r="I20" s="78"/>
      <c r="J20" s="78"/>
      <c r="K20" s="78"/>
      <c r="L20" s="78"/>
      <c r="M20" s="78"/>
      <c r="N20" s="78"/>
      <c r="O20" s="78"/>
      <c r="P20" s="78"/>
      <c r="U20" s="31"/>
    </row>
    <row r="21" spans="1:24" ht="15" customHeight="1">
      <c r="A21" s="28">
        <v>11</v>
      </c>
      <c r="B21" s="13" t="s">
        <v>30</v>
      </c>
      <c r="C21" s="28" t="str">
        <f>"("&amp;A13&amp;") - ("&amp;A36&amp;")"</f>
        <v>(3) - (26)</v>
      </c>
      <c r="D21" s="77">
        <f t="shared" ref="D21:O22" si="7">D13-D36</f>
        <v>903398.33918000001</v>
      </c>
      <c r="E21" s="189">
        <f t="shared" si="7"/>
        <v>990251.5319200001</v>
      </c>
      <c r="F21" s="77">
        <f t="shared" si="7"/>
        <v>1151567.0933999999</v>
      </c>
      <c r="G21" s="77">
        <f t="shared" si="7"/>
        <v>2544594.1425499995</v>
      </c>
      <c r="H21" s="77">
        <f t="shared" si="7"/>
        <v>3716769.4010500005</v>
      </c>
      <c r="I21" s="77">
        <f t="shared" si="7"/>
        <v>5339051.8117499994</v>
      </c>
      <c r="J21" s="77">
        <f t="shared" si="7"/>
        <v>5721278.0065000001</v>
      </c>
      <c r="K21" s="77">
        <f t="shared" si="7"/>
        <v>4445616.3573500002</v>
      </c>
      <c r="L21" s="77">
        <f t="shared" si="7"/>
        <v>3744870.1179999993</v>
      </c>
      <c r="M21" s="77">
        <f t="shared" si="7"/>
        <v>0</v>
      </c>
      <c r="N21" s="77">
        <f t="shared" si="7"/>
        <v>0</v>
      </c>
      <c r="O21" s="77">
        <f t="shared" si="7"/>
        <v>0</v>
      </c>
      <c r="P21" s="77"/>
      <c r="Q21" s="77">
        <f t="shared" ref="Q21:R21" si="8">Q13-Q36</f>
        <v>3045216.9644999998</v>
      </c>
      <c r="R21" s="77">
        <f t="shared" si="8"/>
        <v>11600415.355349999</v>
      </c>
      <c r="S21" s="77">
        <f t="shared" ref="S21:T21" si="9">S13-S36</f>
        <v>13911764.48185</v>
      </c>
      <c r="T21" s="77">
        <f t="shared" si="9"/>
        <v>0</v>
      </c>
      <c r="U21" s="77">
        <f t="shared" ref="U21:U22" si="10">U13-U35</f>
        <v>30287273.2117</v>
      </c>
    </row>
    <row r="22" spans="1:24" ht="15" customHeight="1">
      <c r="A22" s="49">
        <v>12</v>
      </c>
      <c r="B22" s="13" t="s">
        <v>20</v>
      </c>
      <c r="C22" s="28" t="str">
        <f>"("&amp;A14&amp;") - ("&amp;A37&amp;")"</f>
        <v>(4) - (27)</v>
      </c>
      <c r="D22" s="77">
        <f t="shared" si="7"/>
        <v>475831.4</v>
      </c>
      <c r="E22" s="189">
        <f t="shared" si="7"/>
        <v>475928.4</v>
      </c>
      <c r="F22" s="77">
        <f t="shared" si="7"/>
        <v>512478.39999999997</v>
      </c>
      <c r="G22" s="77">
        <f t="shared" si="7"/>
        <v>512213.8</v>
      </c>
      <c r="H22" s="77">
        <f t="shared" si="7"/>
        <v>512085.6</v>
      </c>
      <c r="I22" s="77">
        <f t="shared" si="7"/>
        <v>511934.60000000003</v>
      </c>
      <c r="J22" s="77">
        <f t="shared" si="7"/>
        <v>492392.6</v>
      </c>
      <c r="K22" s="77">
        <f t="shared" si="7"/>
        <v>502699.79999999993</v>
      </c>
      <c r="L22" s="77">
        <f t="shared" si="7"/>
        <v>549632.20000000007</v>
      </c>
      <c r="M22" s="77">
        <f t="shared" si="7"/>
        <v>0</v>
      </c>
      <c r="N22" s="77">
        <f t="shared" si="7"/>
        <v>0</v>
      </c>
      <c r="O22" s="77">
        <f t="shared" si="7"/>
        <v>0</v>
      </c>
      <c r="P22" s="77"/>
      <c r="Q22" s="77">
        <f t="shared" ref="Q22:R22" si="11">Q14-Q37</f>
        <v>1464238.2</v>
      </c>
      <c r="R22" s="77">
        <f t="shared" si="11"/>
        <v>1536234</v>
      </c>
      <c r="S22" s="77">
        <f t="shared" ref="S22:T22" si="12">S14-S37</f>
        <v>1544724.6</v>
      </c>
      <c r="T22" s="77">
        <f t="shared" si="12"/>
        <v>0</v>
      </c>
      <c r="U22" s="77">
        <f t="shared" si="10"/>
        <v>3134175.5900000008</v>
      </c>
    </row>
    <row r="23" spans="1:24" ht="15" customHeight="1">
      <c r="A23" s="28">
        <v>13</v>
      </c>
      <c r="B23" s="2" t="s">
        <v>102</v>
      </c>
      <c r="C23" s="28" t="str">
        <f>"("&amp;A12&amp;") - ("&amp;A38&amp;")"</f>
        <v>(2) - (28)</v>
      </c>
      <c r="D23" s="73">
        <f t="shared" ref="D23:O23" si="13">D12-D38</f>
        <v>924029.70321999991</v>
      </c>
      <c r="E23" s="187">
        <f t="shared" si="13"/>
        <v>1034226.1535799999</v>
      </c>
      <c r="F23" s="73">
        <f t="shared" si="13"/>
        <v>1605735.7026199999</v>
      </c>
      <c r="G23" s="73">
        <f t="shared" si="13"/>
        <v>4588314.9521899996</v>
      </c>
      <c r="H23" s="73">
        <f t="shared" si="13"/>
        <v>7381340.8525299998</v>
      </c>
      <c r="I23" s="73">
        <f t="shared" si="13"/>
        <v>11155238.61947</v>
      </c>
      <c r="J23" s="73">
        <f t="shared" si="13"/>
        <v>11218900.16337</v>
      </c>
      <c r="K23" s="73">
        <f t="shared" si="13"/>
        <v>9632858.4313700013</v>
      </c>
      <c r="L23" s="73">
        <f t="shared" si="13"/>
        <v>6875699.6389600001</v>
      </c>
      <c r="M23" s="73">
        <f t="shared" si="13"/>
        <v>0</v>
      </c>
      <c r="N23" s="73">
        <f t="shared" si="13"/>
        <v>0</v>
      </c>
      <c r="O23" s="73">
        <f t="shared" si="13"/>
        <v>0</v>
      </c>
      <c r="P23" s="73"/>
      <c r="Q23" s="73">
        <f t="shared" ref="Q23:R23" si="14">Q12-Q38</f>
        <v>3563991.5594199998</v>
      </c>
      <c r="R23" s="73">
        <f t="shared" si="14"/>
        <v>23124894.42419</v>
      </c>
      <c r="S23" s="73">
        <f t="shared" ref="S23:T23" si="15">S12-S38</f>
        <v>27727458.2337</v>
      </c>
      <c r="T23" s="73">
        <f t="shared" si="15"/>
        <v>0</v>
      </c>
      <c r="U23" s="73">
        <f t="shared" ref="U23" si="16">U12-U37</f>
        <v>57265592.533719994</v>
      </c>
    </row>
    <row r="24" spans="1:24" ht="9" customHeight="1">
      <c r="A24" s="49">
        <v>14</v>
      </c>
      <c r="B24" s="13"/>
      <c r="C24" s="28"/>
      <c r="D24" s="79"/>
      <c r="E24" s="194"/>
      <c r="F24" s="79"/>
      <c r="G24" s="79"/>
      <c r="H24" s="79"/>
      <c r="I24" s="79"/>
      <c r="J24" s="79"/>
      <c r="K24" s="79"/>
      <c r="L24" s="79"/>
      <c r="M24" s="79"/>
      <c r="N24" s="79"/>
      <c r="O24" s="79"/>
      <c r="P24" s="79"/>
      <c r="U24" s="79">
        <f>U25/U23</f>
        <v>0</v>
      </c>
    </row>
    <row r="25" spans="1:24" ht="9" customHeight="1">
      <c r="A25" s="28">
        <v>15</v>
      </c>
      <c r="B25" s="13"/>
      <c r="C25" s="28"/>
      <c r="D25" s="77"/>
      <c r="E25" s="189"/>
      <c r="F25" s="77"/>
      <c r="G25" s="77"/>
      <c r="H25" s="77"/>
      <c r="I25" s="77"/>
      <c r="J25" s="77"/>
      <c r="K25" s="77"/>
      <c r="L25" s="77"/>
      <c r="M25" s="77"/>
      <c r="N25" s="77"/>
      <c r="O25" s="77"/>
      <c r="P25" s="77"/>
      <c r="U25" s="61"/>
    </row>
    <row r="26" spans="1:24" ht="15" customHeight="1">
      <c r="A26" s="49">
        <v>16</v>
      </c>
      <c r="B26" s="13" t="s">
        <v>84</v>
      </c>
      <c r="C26" s="28" t="str">
        <f>"("&amp;A21&amp;") - ("&amp;A22&amp;") -("&amp;A25&amp;")"</f>
        <v>(11) - (12) -(15)</v>
      </c>
      <c r="D26" s="77">
        <f t="shared" ref="D26:O26" si="17">D21-D22-D25</f>
        <v>427566.93917999999</v>
      </c>
      <c r="E26" s="189">
        <f t="shared" si="17"/>
        <v>514323.13192000007</v>
      </c>
      <c r="F26" s="77">
        <f t="shared" si="17"/>
        <v>639088.69339999999</v>
      </c>
      <c r="G26" s="77">
        <f t="shared" si="17"/>
        <v>2032380.3425499995</v>
      </c>
      <c r="H26" s="77">
        <f t="shared" si="17"/>
        <v>3204683.8010500004</v>
      </c>
      <c r="I26" s="77">
        <f t="shared" si="17"/>
        <v>4827117.2117499998</v>
      </c>
      <c r="J26" s="77">
        <f t="shared" si="17"/>
        <v>5228885.4065000005</v>
      </c>
      <c r="K26" s="77">
        <f t="shared" si="17"/>
        <v>3942916.5573500004</v>
      </c>
      <c r="L26" s="77">
        <f t="shared" si="17"/>
        <v>3195237.9179999991</v>
      </c>
      <c r="M26" s="77">
        <f t="shared" si="17"/>
        <v>0</v>
      </c>
      <c r="N26" s="77">
        <f t="shared" si="17"/>
        <v>0</v>
      </c>
      <c r="O26" s="77">
        <f t="shared" si="17"/>
        <v>0</v>
      </c>
      <c r="P26" s="77"/>
      <c r="Q26" s="30">
        <f>SUM(D26:F26)</f>
        <v>1580978.7645</v>
      </c>
      <c r="R26" s="30">
        <f>SUM(G26:I26)</f>
        <v>10064181.355349999</v>
      </c>
      <c r="S26" s="30">
        <f>SUM(J26:L26)</f>
        <v>12367039.88185</v>
      </c>
      <c r="T26" s="30">
        <f>SUM(M26:O26)</f>
        <v>0</v>
      </c>
      <c r="U26" s="61">
        <f>SUM(D26:O26)</f>
        <v>24012200.001699999</v>
      </c>
    </row>
    <row r="27" spans="1:24" ht="15" customHeight="1">
      <c r="A27" s="28">
        <v>17</v>
      </c>
      <c r="B27" s="3" t="s">
        <v>21</v>
      </c>
      <c r="C27" s="28"/>
      <c r="D27" s="80">
        <f t="shared" ref="D27:O27" si="18">D26/D17</f>
        <v>5.4417907266039629</v>
      </c>
      <c r="E27" s="195">
        <f t="shared" si="18"/>
        <v>6.5504684580409345</v>
      </c>
      <c r="F27" s="80">
        <f t="shared" si="18"/>
        <v>7.5360677963303617</v>
      </c>
      <c r="G27" s="80">
        <f t="shared" si="18"/>
        <v>23.945571046244471</v>
      </c>
      <c r="H27" s="80">
        <f t="shared" si="18"/>
        <v>37.768813212139072</v>
      </c>
      <c r="I27" s="80">
        <f>I26/I17</f>
        <v>56.905433550048919</v>
      </c>
      <c r="J27" s="80">
        <f t="shared" ref="J27:N27" si="19">J26/J17</f>
        <v>61.53077672981879</v>
      </c>
      <c r="K27" s="80">
        <f t="shared" si="19"/>
        <v>46.266416621881675</v>
      </c>
      <c r="L27" s="80">
        <f t="shared" si="19"/>
        <v>37.267899716575094</v>
      </c>
      <c r="M27" s="80" t="e">
        <f t="shared" si="19"/>
        <v>#DIV/0!</v>
      </c>
      <c r="N27" s="80" t="e">
        <f t="shared" si="19"/>
        <v>#DIV/0!</v>
      </c>
      <c r="O27" s="80" t="e">
        <f t="shared" si="18"/>
        <v>#DIV/0!</v>
      </c>
      <c r="P27" s="80"/>
      <c r="Q27" s="67">
        <f t="shared" ref="Q27:U27" si="20">Q26/Q17</f>
        <v>6.5358869433466174</v>
      </c>
      <c r="R27" s="67">
        <f t="shared" si="20"/>
        <v>39.536838663023659</v>
      </c>
      <c r="S27" s="67">
        <f t="shared" ref="S27:T27" si="21">S26/S17</f>
        <v>48.320263351228228</v>
      </c>
      <c r="T27" s="67" t="e">
        <f t="shared" si="21"/>
        <v>#DIV/0!</v>
      </c>
      <c r="U27" s="63">
        <f t="shared" si="20"/>
        <v>31.914862512443793</v>
      </c>
    </row>
    <row r="28" spans="1:24" ht="15" customHeight="1">
      <c r="A28" s="49">
        <v>18</v>
      </c>
      <c r="B28" s="13" t="s">
        <v>85</v>
      </c>
      <c r="C28" s="28" t="str">
        <f>"("&amp;A$19&amp;") - ("&amp;A26&amp;")"</f>
        <v>(9) - (16)</v>
      </c>
      <c r="D28" s="77">
        <f t="shared" ref="D28:O28" si="22">D19-D26</f>
        <v>126601.06443234987</v>
      </c>
      <c r="E28" s="189">
        <f t="shared" si="22"/>
        <v>33339.012038329034</v>
      </c>
      <c r="F28" s="77">
        <f t="shared" si="22"/>
        <v>-232.5835299291648</v>
      </c>
      <c r="G28" s="77">
        <f t="shared" si="22"/>
        <v>251759.15198153467</v>
      </c>
      <c r="H28" s="77">
        <f t="shared" si="22"/>
        <v>628995.69780400675</v>
      </c>
      <c r="I28" s="77">
        <f t="shared" si="22"/>
        <v>-128723.93500943203</v>
      </c>
      <c r="J28" s="77">
        <f t="shared" si="22"/>
        <v>-665430.30194830988</v>
      </c>
      <c r="K28" s="77">
        <f t="shared" si="22"/>
        <v>156499.21060339548</v>
      </c>
      <c r="L28" s="77">
        <f t="shared" si="22"/>
        <v>-176921.64351593377</v>
      </c>
      <c r="M28" s="77">
        <f t="shared" si="22"/>
        <v>0</v>
      </c>
      <c r="N28" s="77">
        <f t="shared" si="22"/>
        <v>0</v>
      </c>
      <c r="O28" s="77">
        <f t="shared" si="22"/>
        <v>0</v>
      </c>
      <c r="P28" s="77"/>
      <c r="Q28" s="30">
        <f>SUM(D28:F28)</f>
        <v>159707.49294074974</v>
      </c>
      <c r="R28" s="30">
        <f>SUM(G28:I28)</f>
        <v>752030.91477610939</v>
      </c>
      <c r="S28" s="30">
        <f>SUM(J28:L28)</f>
        <v>-685852.73486084817</v>
      </c>
      <c r="T28" s="30">
        <f>SUM(M28:O28)</f>
        <v>0</v>
      </c>
      <c r="U28" s="61">
        <f>SUM(D28:O28)</f>
        <v>225885.67285601096</v>
      </c>
    </row>
    <row r="29" spans="1:24" ht="9" customHeight="1">
      <c r="A29" s="28">
        <v>19</v>
      </c>
      <c r="B29" s="13"/>
      <c r="C29" s="28"/>
      <c r="D29" s="77"/>
      <c r="E29" s="189"/>
      <c r="F29" s="77"/>
      <c r="G29" s="77"/>
      <c r="H29" s="77"/>
      <c r="I29" s="77"/>
      <c r="J29" s="77"/>
      <c r="K29" s="77"/>
      <c r="L29" s="77"/>
      <c r="M29" s="77"/>
      <c r="N29" s="77"/>
      <c r="O29" s="77"/>
      <c r="P29" s="77"/>
      <c r="U29" s="61"/>
    </row>
    <row r="30" spans="1:24" ht="9" customHeight="1">
      <c r="A30" s="49">
        <v>20</v>
      </c>
      <c r="B30" s="13"/>
      <c r="C30" s="28"/>
      <c r="D30" s="77"/>
      <c r="E30" s="189"/>
      <c r="F30" s="77"/>
      <c r="G30" s="77"/>
      <c r="H30" s="77"/>
      <c r="I30" s="77"/>
      <c r="J30" s="77"/>
      <c r="K30" s="77"/>
      <c r="L30" s="77"/>
      <c r="M30" s="77"/>
      <c r="N30" s="77"/>
      <c r="O30" s="77"/>
      <c r="P30" s="77"/>
      <c r="U30" s="31"/>
    </row>
    <row r="31" spans="1:24" ht="15" customHeight="1">
      <c r="A31" s="28">
        <v>21</v>
      </c>
      <c r="B31" s="71" t="s">
        <v>86</v>
      </c>
      <c r="C31" s="28"/>
      <c r="D31" s="77"/>
      <c r="E31" s="189"/>
      <c r="F31" s="77"/>
      <c r="G31" s="77"/>
      <c r="H31" s="77"/>
      <c r="I31" s="77"/>
      <c r="J31" s="77"/>
      <c r="K31" s="77"/>
      <c r="L31" s="77"/>
      <c r="M31" s="77"/>
      <c r="N31" s="77"/>
      <c r="O31" s="77"/>
      <c r="P31" s="77"/>
      <c r="U31" s="60"/>
    </row>
    <row r="32" spans="1:24" ht="15" customHeight="1">
      <c r="A32" s="49">
        <v>22</v>
      </c>
      <c r="B32" s="13" t="s">
        <v>87</v>
      </c>
      <c r="C32" s="28" t="s">
        <v>71</v>
      </c>
      <c r="D32" s="101">
        <v>10189</v>
      </c>
      <c r="E32" s="212">
        <v>10405</v>
      </c>
      <c r="F32" s="101">
        <v>4372</v>
      </c>
      <c r="G32" s="101">
        <v>4590</v>
      </c>
      <c r="H32" s="101">
        <v>4885</v>
      </c>
      <c r="I32" s="101">
        <v>5071</v>
      </c>
      <c r="J32" s="101">
        <v>5246</v>
      </c>
      <c r="K32" s="101">
        <v>4964</v>
      </c>
      <c r="L32" s="101">
        <v>5488</v>
      </c>
      <c r="M32" s="101">
        <v>0</v>
      </c>
      <c r="N32" s="101">
        <v>0</v>
      </c>
      <c r="O32" s="101">
        <v>0</v>
      </c>
      <c r="P32" s="101"/>
      <c r="Q32" s="29">
        <f>SUM(D32:F32)</f>
        <v>24966</v>
      </c>
      <c r="R32" s="29">
        <f>SUM(G32:I32)</f>
        <v>14546</v>
      </c>
      <c r="S32" s="29">
        <f>SUM(J32:L32)</f>
        <v>15698</v>
      </c>
      <c r="T32" s="29">
        <f>SUM(M32:O32)</f>
        <v>0</v>
      </c>
      <c r="U32" s="60">
        <f>SUM(D32:O32)</f>
        <v>55210</v>
      </c>
    </row>
    <row r="33" spans="1:27" ht="15" customHeight="1">
      <c r="A33" s="28">
        <v>23</v>
      </c>
      <c r="B33" s="68" t="s">
        <v>157</v>
      </c>
      <c r="C33" s="74" t="s">
        <v>78</v>
      </c>
      <c r="D33" s="75">
        <v>6.6585019212641852</v>
      </c>
      <c r="E33" s="188">
        <v>6.5848576000492489</v>
      </c>
      <c r="F33" s="75">
        <v>7.0559854825926998</v>
      </c>
      <c r="G33" s="75">
        <v>25.206572691238641</v>
      </c>
      <c r="H33" s="75">
        <v>42.31895345285858</v>
      </c>
      <c r="I33" s="75">
        <v>51.878357989692383</v>
      </c>
      <c r="J33" s="75">
        <v>50.297687564424457</v>
      </c>
      <c r="K33" s="75">
        <v>45.054814763951242</v>
      </c>
      <c r="L33" s="75">
        <v>32.973680502943495</v>
      </c>
      <c r="M33" s="75">
        <v>23.49480582036167</v>
      </c>
      <c r="N33" s="75">
        <v>15.262489600406926</v>
      </c>
      <c r="O33" s="75">
        <v>8.8563654806947465</v>
      </c>
      <c r="P33" s="75"/>
      <c r="Q33" s="67">
        <f>Q34/Q32</f>
        <v>6.6974160031309982</v>
      </c>
      <c r="R33" s="67">
        <f>R34/R32</f>
        <v>40.251712473238662</v>
      </c>
      <c r="S33" s="67">
        <f t="shared" ref="S33:T33" si="23">S34/S32</f>
        <v>42.583343613923979</v>
      </c>
      <c r="T33" s="67" t="e">
        <f t="shared" si="23"/>
        <v>#DIV/0!</v>
      </c>
      <c r="U33" s="55">
        <f>U34/U32</f>
        <v>25.741395138947233</v>
      </c>
    </row>
    <row r="34" spans="1:27" ht="15" customHeight="1">
      <c r="A34" s="49">
        <v>24</v>
      </c>
      <c r="B34" s="13" t="s">
        <v>79</v>
      </c>
      <c r="C34" s="28" t="str">
        <f>"("&amp;A32&amp;") x ("&amp;A33&amp;")"</f>
        <v>(22) x (23)</v>
      </c>
      <c r="D34" s="77">
        <f t="shared" ref="D34:H34" si="24">D32*D33</f>
        <v>67843.476075760787</v>
      </c>
      <c r="E34" s="189">
        <f t="shared" si="24"/>
        <v>68515.44332851244</v>
      </c>
      <c r="F34" s="77">
        <f t="shared" si="24"/>
        <v>30848.768529895282</v>
      </c>
      <c r="G34" s="77">
        <f t="shared" si="24"/>
        <v>115698.16865278536</v>
      </c>
      <c r="H34" s="77">
        <f t="shared" si="24"/>
        <v>206728.08761721416</v>
      </c>
      <c r="I34" s="77">
        <f>I32*I33</f>
        <v>263075.15336573008</v>
      </c>
      <c r="J34" s="77">
        <f t="shared" ref="J34:N34" si="25">J32*J33</f>
        <v>263861.66896297073</v>
      </c>
      <c r="K34" s="77">
        <f t="shared" si="25"/>
        <v>223652.10048825396</v>
      </c>
      <c r="L34" s="77">
        <f t="shared" si="25"/>
        <v>180959.55860015389</v>
      </c>
      <c r="M34" s="77">
        <f t="shared" si="25"/>
        <v>0</v>
      </c>
      <c r="N34" s="77">
        <f t="shared" si="25"/>
        <v>0</v>
      </c>
      <c r="O34" s="222">
        <f>O32*O33+0</f>
        <v>0</v>
      </c>
      <c r="P34" s="77"/>
      <c r="Q34" s="30">
        <f>SUM(D34:F34)</f>
        <v>167207.6879341685</v>
      </c>
      <c r="R34" s="30">
        <f>SUM(G34:I34)</f>
        <v>585501.40963572962</v>
      </c>
      <c r="S34" s="30">
        <f>SUM(J34:L34)</f>
        <v>668473.3280513786</v>
      </c>
      <c r="T34" s="30">
        <f>SUM(M34:O34)</f>
        <v>0</v>
      </c>
      <c r="U34" s="61">
        <f>SUM(D34:O34)</f>
        <v>1421182.4256212767</v>
      </c>
    </row>
    <row r="35" spans="1:27" ht="15" customHeight="1">
      <c r="A35" s="28">
        <v>25</v>
      </c>
      <c r="B35" s="13"/>
      <c r="C35" s="28"/>
      <c r="D35" s="78"/>
      <c r="E35" s="192"/>
      <c r="F35" s="78"/>
      <c r="G35" s="78"/>
      <c r="H35" s="78"/>
      <c r="I35" s="78"/>
      <c r="J35" s="78"/>
      <c r="K35" s="78"/>
      <c r="L35" s="78"/>
      <c r="M35" s="78"/>
      <c r="N35" s="78"/>
      <c r="O35" s="78"/>
      <c r="P35" s="78"/>
      <c r="Q35" s="30"/>
      <c r="R35" s="30"/>
      <c r="S35" s="30"/>
      <c r="T35" s="30"/>
      <c r="U35" s="61"/>
    </row>
    <row r="36" spans="1:27" ht="15" customHeight="1">
      <c r="A36" s="49">
        <v>26</v>
      </c>
      <c r="B36" s="13" t="s">
        <v>30</v>
      </c>
      <c r="C36" s="28" t="s">
        <v>71</v>
      </c>
      <c r="D36" s="213">
        <v>110136.27</v>
      </c>
      <c r="E36" s="214">
        <v>108929.09</v>
      </c>
      <c r="F36" s="213">
        <v>49342.36</v>
      </c>
      <c r="G36" s="213">
        <v>87390.29</v>
      </c>
      <c r="H36" s="213">
        <v>164083.48000000001</v>
      </c>
      <c r="I36" s="213">
        <v>262286.57</v>
      </c>
      <c r="J36" s="213">
        <v>369882.62</v>
      </c>
      <c r="K36" s="213">
        <v>301560.05</v>
      </c>
      <c r="L36" s="213">
        <v>276265.68</v>
      </c>
      <c r="M36" s="213">
        <v>0</v>
      </c>
      <c r="N36" s="213">
        <v>0</v>
      </c>
      <c r="O36" s="213">
        <v>0</v>
      </c>
      <c r="P36" s="213"/>
      <c r="Q36" s="30">
        <f>SUM(D36:F36)</f>
        <v>268407.71999999997</v>
      </c>
      <c r="R36" s="30">
        <f>SUM(G36:I36)</f>
        <v>513760.34</v>
      </c>
      <c r="S36" s="30">
        <f>SUM(J36:L36)</f>
        <v>947708.34999999986</v>
      </c>
      <c r="T36" s="30">
        <f>SUM(M36:O36)</f>
        <v>0</v>
      </c>
      <c r="U36" s="61">
        <f>SUM(D36:O36)</f>
        <v>1729876.4100000001</v>
      </c>
    </row>
    <row r="37" spans="1:27" ht="15" customHeight="1">
      <c r="A37" s="28">
        <v>27</v>
      </c>
      <c r="B37" s="13" t="s">
        <v>20</v>
      </c>
      <c r="C37" s="28" t="s">
        <v>71</v>
      </c>
      <c r="D37" s="213">
        <v>59153</v>
      </c>
      <c r="E37" s="214">
        <v>60323</v>
      </c>
      <c r="F37" s="213">
        <v>24860.2</v>
      </c>
      <c r="G37" s="213">
        <v>26469.8</v>
      </c>
      <c r="H37" s="213">
        <v>27684</v>
      </c>
      <c r="I37" s="213">
        <v>29265.200000000001</v>
      </c>
      <c r="J37" s="213">
        <v>30565.4</v>
      </c>
      <c r="K37" s="213">
        <v>28813.4</v>
      </c>
      <c r="L37" s="213">
        <v>31721.200000000001</v>
      </c>
      <c r="M37" s="213">
        <v>0</v>
      </c>
      <c r="N37" s="213">
        <v>0</v>
      </c>
      <c r="O37" s="213">
        <v>0</v>
      </c>
      <c r="P37" s="213"/>
      <c r="Q37" s="30">
        <f>SUM(D37:F37)</f>
        <v>144336.20000000001</v>
      </c>
      <c r="R37" s="30">
        <f>SUM(G37:I37)</f>
        <v>83419</v>
      </c>
      <c r="S37" s="30">
        <f>SUM(J37:L37)</f>
        <v>91100</v>
      </c>
      <c r="T37" s="30">
        <f>SUM(M37:O37)</f>
        <v>0</v>
      </c>
      <c r="U37" s="61">
        <f>SUM(D37:O37)</f>
        <v>318855.2</v>
      </c>
    </row>
    <row r="38" spans="1:27" ht="15" customHeight="1">
      <c r="A38" s="49">
        <v>28</v>
      </c>
      <c r="B38" s="2" t="s">
        <v>102</v>
      </c>
      <c r="C38" s="28" t="s">
        <v>71</v>
      </c>
      <c r="D38" s="101">
        <v>109736.21724</v>
      </c>
      <c r="E38" s="212">
        <v>104625.89225</v>
      </c>
      <c r="F38" s="101">
        <v>53961.317089999997</v>
      </c>
      <c r="G38" s="101">
        <v>137206.60605999999</v>
      </c>
      <c r="H38" s="101">
        <v>307345.03824999998</v>
      </c>
      <c r="I38" s="101">
        <v>525058.79455999995</v>
      </c>
      <c r="J38" s="101">
        <v>764573.08710999996</v>
      </c>
      <c r="K38" s="101">
        <v>614571.58372999995</v>
      </c>
      <c r="L38" s="101">
        <v>551024.98011999996</v>
      </c>
      <c r="M38" s="101">
        <v>0</v>
      </c>
      <c r="N38" s="101">
        <v>0</v>
      </c>
      <c r="O38" s="101">
        <v>0</v>
      </c>
      <c r="P38" s="101"/>
      <c r="Q38" s="30">
        <f>SUM(D38:F38)</f>
        <v>268323.42657999997</v>
      </c>
      <c r="R38" s="30">
        <f>SUM(G38:I38)</f>
        <v>969610.43886999995</v>
      </c>
      <c r="S38" s="30">
        <f>SUM(J38:L38)</f>
        <v>1930169.6509599998</v>
      </c>
      <c r="T38" s="30">
        <f>SUM(M38:O38)</f>
        <v>0</v>
      </c>
      <c r="U38" s="61">
        <f>SUM(D38:O38)</f>
        <v>3168103.5164099997</v>
      </c>
    </row>
    <row r="39" spans="1:27" ht="9" customHeight="1">
      <c r="A39" s="28">
        <v>29</v>
      </c>
      <c r="B39" s="13"/>
      <c r="C39" s="28"/>
      <c r="D39" s="79"/>
      <c r="E39" s="194"/>
      <c r="F39" s="79"/>
      <c r="G39" s="79"/>
      <c r="H39" s="79"/>
      <c r="I39" s="79"/>
      <c r="J39" s="79"/>
      <c r="K39" s="79"/>
      <c r="L39" s="79"/>
      <c r="M39" s="79"/>
      <c r="N39" s="79"/>
      <c r="O39" s="79"/>
      <c r="P39" s="79"/>
      <c r="U39" s="137">
        <f>U40/U38</f>
        <v>0</v>
      </c>
    </row>
    <row r="40" spans="1:27" ht="9" customHeight="1">
      <c r="A40" s="49">
        <v>30</v>
      </c>
      <c r="B40" s="13"/>
      <c r="C40" s="28"/>
      <c r="D40" s="77"/>
      <c r="E40" s="189"/>
      <c r="F40" s="77"/>
      <c r="G40" s="77"/>
      <c r="H40" s="77"/>
      <c r="I40" s="77"/>
      <c r="J40" s="77"/>
      <c r="K40" s="77"/>
      <c r="L40" s="77"/>
      <c r="M40" s="77"/>
      <c r="N40" s="77"/>
      <c r="O40" s="77"/>
      <c r="P40" s="77"/>
      <c r="U40" s="122"/>
    </row>
    <row r="41" spans="1:27" ht="15" customHeight="1">
      <c r="A41" s="28">
        <v>31</v>
      </c>
      <c r="B41" s="81" t="s">
        <v>103</v>
      </c>
      <c r="C41" s="28" t="s">
        <v>89</v>
      </c>
      <c r="D41" s="193">
        <v>2.599093096714588E-2</v>
      </c>
      <c r="E41" s="194">
        <f t="shared" ref="E41:O41" si="26">D41</f>
        <v>2.599093096714588E-2</v>
      </c>
      <c r="F41" s="193">
        <v>2.8123766380947636E-2</v>
      </c>
      <c r="G41" s="79">
        <f t="shared" si="26"/>
        <v>2.8123766380947636E-2</v>
      </c>
      <c r="H41" s="79">
        <f t="shared" si="26"/>
        <v>2.8123766380947636E-2</v>
      </c>
      <c r="I41" s="79">
        <f t="shared" si="26"/>
        <v>2.8123766380947636E-2</v>
      </c>
      <c r="J41" s="79">
        <f t="shared" si="26"/>
        <v>2.8123766380947636E-2</v>
      </c>
      <c r="K41" s="79">
        <f t="shared" si="26"/>
        <v>2.8123766380947636E-2</v>
      </c>
      <c r="L41" s="79">
        <f t="shared" si="26"/>
        <v>2.8123766380947636E-2</v>
      </c>
      <c r="M41" s="79">
        <f t="shared" si="26"/>
        <v>2.8123766380947636E-2</v>
      </c>
      <c r="N41" s="79">
        <f t="shared" si="26"/>
        <v>2.8123766380947636E-2</v>
      </c>
      <c r="O41" s="79">
        <f t="shared" si="26"/>
        <v>2.8123766380947636E-2</v>
      </c>
      <c r="P41" s="79"/>
      <c r="Q41" s="79">
        <v>2.5991E-2</v>
      </c>
      <c r="R41" s="79">
        <v>2.5991E-2</v>
      </c>
      <c r="S41" s="79">
        <v>2.5991E-2</v>
      </c>
      <c r="T41" s="79">
        <v>2.5991E-2</v>
      </c>
      <c r="U41" s="79">
        <f>U42/U38</f>
        <v>2.7979453199219406E-2</v>
      </c>
    </row>
    <row r="42" spans="1:27" ht="15" customHeight="1">
      <c r="A42" s="49">
        <v>32</v>
      </c>
      <c r="B42" s="81" t="s">
        <v>104</v>
      </c>
      <c r="C42" s="28" t="str">
        <f>"("&amp;A40&amp;") x ("&amp;A41&amp;")"</f>
        <v>(30) x (31)</v>
      </c>
      <c r="D42" s="77">
        <f t="shared" ref="D42:O42" si="27">D38*D41</f>
        <v>2852.1464468805634</v>
      </c>
      <c r="E42" s="189">
        <f t="shared" si="27"/>
        <v>2719.3243428457931</v>
      </c>
      <c r="F42" s="77">
        <f t="shared" si="27"/>
        <v>1517.5954754473971</v>
      </c>
      <c r="G42" s="77">
        <f t="shared" si="27"/>
        <v>3858.7665347541538</v>
      </c>
      <c r="H42" s="77">
        <f>H38*H41</f>
        <v>8643.7000540864155</v>
      </c>
      <c r="I42" s="77">
        <f t="shared" ref="I42:N42" si="28">I38*I41</f>
        <v>14766.630874467419</v>
      </c>
      <c r="J42" s="77">
        <f t="shared" si="28"/>
        <v>21502.674883041564</v>
      </c>
      <c r="K42" s="77">
        <f t="shared" si="28"/>
        <v>17284.067645191517</v>
      </c>
      <c r="L42" s="77">
        <f t="shared" si="28"/>
        <v>15496.897810961194</v>
      </c>
      <c r="M42" s="77">
        <f t="shared" si="28"/>
        <v>0</v>
      </c>
      <c r="N42" s="77">
        <f t="shared" si="28"/>
        <v>0</v>
      </c>
      <c r="O42" s="77">
        <f t="shared" si="27"/>
        <v>0</v>
      </c>
      <c r="P42" s="77"/>
      <c r="Q42" s="30">
        <f>SUM(D42:F42)</f>
        <v>7089.066265173753</v>
      </c>
      <c r="R42" s="30">
        <f>SUM(G42:I42)</f>
        <v>27269.09746330799</v>
      </c>
      <c r="S42" s="30">
        <f>SUM(J42:L42)</f>
        <v>54283.640339194273</v>
      </c>
      <c r="T42" s="30">
        <f>SUM(M42:O42)</f>
        <v>0</v>
      </c>
      <c r="U42" s="61">
        <f>SUM(D42:O42)</f>
        <v>88641.804067676014</v>
      </c>
    </row>
    <row r="43" spans="1:27" ht="15" customHeight="1">
      <c r="A43" s="28">
        <v>33</v>
      </c>
      <c r="B43" s="13" t="s">
        <v>84</v>
      </c>
      <c r="C43" s="28" t="str">
        <f>"("&amp;A36&amp;") - ("&amp;A37&amp;") - ("&amp;A40&amp;") - ("&amp;A42&amp;")"</f>
        <v>(26) - (27) - (30) - (32)</v>
      </c>
      <c r="D43" s="77">
        <f t="shared" ref="D43:O43" si="29">D36-D37-D40-D42</f>
        <v>48131.12355311944</v>
      </c>
      <c r="E43" s="189">
        <f t="shared" si="29"/>
        <v>45886.765657154203</v>
      </c>
      <c r="F43" s="77">
        <f t="shared" si="29"/>
        <v>22964.564524552603</v>
      </c>
      <c r="G43" s="77">
        <f t="shared" si="29"/>
        <v>57061.723465245836</v>
      </c>
      <c r="H43" s="77">
        <f t="shared" si="29"/>
        <v>127755.7799459136</v>
      </c>
      <c r="I43" s="77">
        <f t="shared" si="29"/>
        <v>218254.73912553256</v>
      </c>
      <c r="J43" s="77">
        <f t="shared" si="29"/>
        <v>317814.54511695838</v>
      </c>
      <c r="K43" s="77">
        <f t="shared" si="29"/>
        <v>255462.58235480846</v>
      </c>
      <c r="L43" s="77">
        <f t="shared" si="29"/>
        <v>229047.58218903877</v>
      </c>
      <c r="M43" s="77">
        <f t="shared" si="29"/>
        <v>0</v>
      </c>
      <c r="N43" s="77">
        <f t="shared" si="29"/>
        <v>0</v>
      </c>
      <c r="O43" s="77">
        <f t="shared" si="29"/>
        <v>0</v>
      </c>
      <c r="P43" s="77"/>
      <c r="Q43" s="30">
        <f>SUM(D43:F43)</f>
        <v>116982.45373482624</v>
      </c>
      <c r="R43" s="30">
        <f>SUM(G43:I43)</f>
        <v>403072.24253669201</v>
      </c>
      <c r="S43" s="30">
        <f>SUM(J43:L43)</f>
        <v>802324.70966080565</v>
      </c>
      <c r="T43" s="30">
        <f>SUM(M43:O43)</f>
        <v>0</v>
      </c>
      <c r="U43" s="61">
        <f>SUM(D43:O43)</f>
        <v>1322379.405932324</v>
      </c>
    </row>
    <row r="44" spans="1:27" ht="15" customHeight="1">
      <c r="A44" s="49">
        <v>34</v>
      </c>
      <c r="B44" s="3" t="s">
        <v>21</v>
      </c>
      <c r="C44" s="28"/>
      <c r="D44" s="80">
        <f t="shared" ref="D44:O44" si="30">D43/D32</f>
        <v>4.7238319318009072</v>
      </c>
      <c r="E44" s="195">
        <f t="shared" si="30"/>
        <v>4.4100687801205387</v>
      </c>
      <c r="F44" s="80">
        <f t="shared" si="30"/>
        <v>5.2526451337037061</v>
      </c>
      <c r="G44" s="80">
        <f t="shared" si="30"/>
        <v>12.431748031643973</v>
      </c>
      <c r="H44" s="80">
        <f t="shared" si="30"/>
        <v>26.152667337955702</v>
      </c>
      <c r="I44" s="80">
        <f t="shared" si="30"/>
        <v>43.039782907815535</v>
      </c>
      <c r="J44" s="80">
        <f t="shared" si="30"/>
        <v>60.582261745512461</v>
      </c>
      <c r="K44" s="80">
        <f t="shared" si="30"/>
        <v>51.463050434087116</v>
      </c>
      <c r="L44" s="80">
        <f t="shared" si="30"/>
        <v>41.736075471763627</v>
      </c>
      <c r="M44" s="80" t="e">
        <f t="shared" si="30"/>
        <v>#DIV/0!</v>
      </c>
      <c r="N44" s="80" t="e">
        <f t="shared" si="30"/>
        <v>#DIV/0!</v>
      </c>
      <c r="O44" s="80" t="e">
        <f t="shared" si="30"/>
        <v>#DIV/0!</v>
      </c>
      <c r="P44" s="80"/>
      <c r="Q44" s="67">
        <f>Q43/Q32</f>
        <v>4.6856706614926793</v>
      </c>
      <c r="R44" s="67">
        <f t="shared" ref="R44:U44" si="31">R43/R32</f>
        <v>27.710177542739721</v>
      </c>
      <c r="S44" s="67">
        <f t="shared" ref="S44:T44" si="32">S43/S32</f>
        <v>51.109995519225741</v>
      </c>
      <c r="T44" s="67" t="e">
        <f t="shared" si="32"/>
        <v>#DIV/0!</v>
      </c>
      <c r="U44" s="63">
        <f t="shared" si="31"/>
        <v>23.951809562259083</v>
      </c>
    </row>
    <row r="45" spans="1:27" ht="15" customHeight="1">
      <c r="A45" s="28">
        <v>35</v>
      </c>
      <c r="B45" s="13" t="s">
        <v>91</v>
      </c>
      <c r="C45" s="28" t="str">
        <f>"("&amp;A$19&amp;") - ("&amp;A43&amp;")"</f>
        <v>(9) - (33)</v>
      </c>
      <c r="D45" s="77">
        <f t="shared" ref="D45:O45" si="33">D34-D43</f>
        <v>19712.352522641348</v>
      </c>
      <c r="E45" s="189">
        <f t="shared" si="33"/>
        <v>22628.677671358237</v>
      </c>
      <c r="F45" s="77">
        <f t="shared" si="33"/>
        <v>7884.204005342679</v>
      </c>
      <c r="G45" s="77">
        <f t="shared" si="33"/>
        <v>58636.445187539524</v>
      </c>
      <c r="H45" s="77">
        <f t="shared" si="33"/>
        <v>78972.307671300558</v>
      </c>
      <c r="I45" s="77">
        <f>I34-I43</f>
        <v>44820.414240197511</v>
      </c>
      <c r="J45" s="77">
        <f t="shared" ref="J45:N45" si="34">J34-J43</f>
        <v>-53952.876153987658</v>
      </c>
      <c r="K45" s="77">
        <f t="shared" si="34"/>
        <v>-31810.481866554503</v>
      </c>
      <c r="L45" s="77">
        <f t="shared" si="34"/>
        <v>-48088.023588884884</v>
      </c>
      <c r="M45" s="77">
        <f t="shared" si="34"/>
        <v>0</v>
      </c>
      <c r="N45" s="77">
        <f t="shared" si="34"/>
        <v>0</v>
      </c>
      <c r="O45" s="77">
        <f t="shared" si="33"/>
        <v>0</v>
      </c>
      <c r="P45" s="77"/>
      <c r="Q45" s="30">
        <f>SUM(D45:F45)</f>
        <v>50225.23419934226</v>
      </c>
      <c r="R45" s="30">
        <f>SUM(G45:I45)</f>
        <v>182429.16709903759</v>
      </c>
      <c r="S45" s="30">
        <f>SUM(J45:L45)</f>
        <v>-133851.38160942704</v>
      </c>
      <c r="T45" s="30">
        <f>SUM(M45:O45)</f>
        <v>0</v>
      </c>
      <c r="U45" s="61">
        <f>SUM(D45:O45)</f>
        <v>98803.019688952831</v>
      </c>
    </row>
    <row r="46" spans="1:27" ht="15" customHeight="1">
      <c r="A46" s="49">
        <v>36</v>
      </c>
      <c r="B46" s="13"/>
      <c r="C46" s="28"/>
      <c r="D46" s="77"/>
      <c r="E46" s="189"/>
      <c r="F46" s="77"/>
      <c r="G46" s="77"/>
      <c r="H46" s="77"/>
      <c r="I46" s="77"/>
      <c r="J46" s="77"/>
      <c r="K46" s="77"/>
      <c r="L46" s="77"/>
      <c r="M46" s="77"/>
      <c r="N46" s="77"/>
      <c r="O46" s="77"/>
      <c r="P46" s="77"/>
      <c r="U46" s="31"/>
    </row>
    <row r="47" spans="1:27" ht="15" customHeight="1">
      <c r="A47" s="82">
        <v>37</v>
      </c>
      <c r="B47" s="83" t="s">
        <v>92</v>
      </c>
      <c r="C47" s="82" t="str">
        <f>"("&amp;A$28&amp;") + ("&amp;A45&amp;")"</f>
        <v>(18) + (35)</v>
      </c>
      <c r="D47" s="84">
        <f t="shared" ref="D47:O47" si="35">D28+D45</f>
        <v>146313.41695499123</v>
      </c>
      <c r="E47" s="196">
        <f>E28+E45</f>
        <v>55967.689709687271</v>
      </c>
      <c r="F47" s="84">
        <f t="shared" si="35"/>
        <v>7651.6204754135142</v>
      </c>
      <c r="G47" s="84">
        <f t="shared" si="35"/>
        <v>310395.59716907417</v>
      </c>
      <c r="H47" s="84">
        <f t="shared" si="35"/>
        <v>707968.00547530735</v>
      </c>
      <c r="I47" s="84">
        <f t="shared" si="35"/>
        <v>-83903.520769234514</v>
      </c>
      <c r="J47" s="84">
        <f t="shared" si="35"/>
        <v>-719383.17810229748</v>
      </c>
      <c r="K47" s="84">
        <f t="shared" si="35"/>
        <v>124688.72873684097</v>
      </c>
      <c r="L47" s="84">
        <f t="shared" si="35"/>
        <v>-225009.66710481865</v>
      </c>
      <c r="M47" s="84">
        <f t="shared" si="35"/>
        <v>0</v>
      </c>
      <c r="N47" s="84">
        <f t="shared" si="35"/>
        <v>0</v>
      </c>
      <c r="O47" s="84">
        <f t="shared" si="35"/>
        <v>0</v>
      </c>
      <c r="P47" s="84"/>
      <c r="Q47" s="84">
        <f>SUM(D47:F47)</f>
        <v>209932.727140092</v>
      </c>
      <c r="R47" s="84">
        <f>SUM(G47:I47)</f>
        <v>934460.08187514707</v>
      </c>
      <c r="S47" s="84">
        <f>SUM(J47:L47)</f>
        <v>-819704.1164702751</v>
      </c>
      <c r="T47" s="84">
        <f>SUM(M47:O47)</f>
        <v>0</v>
      </c>
      <c r="U47" s="84">
        <f>SUM(D47:O47)</f>
        <v>324688.69254496379</v>
      </c>
      <c r="V47" s="108"/>
      <c r="W47" s="108"/>
      <c r="X47" s="108"/>
      <c r="Y47" s="108"/>
      <c r="Z47" s="108"/>
      <c r="AA47" s="108"/>
    </row>
    <row r="48" spans="1:27" ht="15" customHeight="1">
      <c r="A48" s="85">
        <v>38</v>
      </c>
      <c r="B48" s="83" t="s">
        <v>22</v>
      </c>
      <c r="C48" s="86" t="s">
        <v>23</v>
      </c>
      <c r="D48" s="84">
        <f>D47*-D$108</f>
        <v>-854.32404160019382</v>
      </c>
      <c r="E48" s="196">
        <f t="shared" ref="E48:O48" si="36">E47*-E$108</f>
        <v>-326.79534021486398</v>
      </c>
      <c r="F48" s="84">
        <f t="shared" si="36"/>
        <v>-33.31515554995044</v>
      </c>
      <c r="G48" s="84">
        <f t="shared" si="36"/>
        <v>-1351.4624300741491</v>
      </c>
      <c r="H48" s="84">
        <f t="shared" si="36"/>
        <v>-3082.4926958394885</v>
      </c>
      <c r="I48" s="84">
        <f t="shared" si="36"/>
        <v>365.31592942924709</v>
      </c>
      <c r="J48" s="84">
        <f t="shared" si="36"/>
        <v>3132.1943574574034</v>
      </c>
      <c r="K48" s="84">
        <f t="shared" si="36"/>
        <v>-542.89472492020559</v>
      </c>
      <c r="L48" s="84">
        <f t="shared" si="36"/>
        <v>979.69209057438047</v>
      </c>
      <c r="M48" s="84">
        <f t="shared" si="36"/>
        <v>0</v>
      </c>
      <c r="N48" s="84">
        <f t="shared" si="36"/>
        <v>0</v>
      </c>
      <c r="O48" s="84">
        <f t="shared" si="36"/>
        <v>0</v>
      </c>
      <c r="P48" s="84"/>
      <c r="Q48" s="84">
        <f>SUM(D48:F48)</f>
        <v>-1214.4345373650083</v>
      </c>
      <c r="R48" s="84">
        <f>SUM(G48:I48)</f>
        <v>-4068.6391964843906</v>
      </c>
      <c r="S48" s="84">
        <f>SUM(J48:L48)</f>
        <v>3568.9917231115783</v>
      </c>
      <c r="T48" s="84">
        <f>SUM(M48:O48)</f>
        <v>0</v>
      </c>
      <c r="U48" s="84">
        <f>SUM(D48:O48)</f>
        <v>-1714.0820107378199</v>
      </c>
    </row>
    <row r="49" spans="1:21" ht="15" customHeight="1">
      <c r="A49" s="28">
        <v>39</v>
      </c>
      <c r="B49" s="13"/>
      <c r="C49" s="3" t="s">
        <v>93</v>
      </c>
      <c r="D49" s="197">
        <v>0.01</v>
      </c>
      <c r="E49" s="198">
        <f>D49</f>
        <v>0.01</v>
      </c>
      <c r="F49" s="87">
        <f>E49</f>
        <v>0.01</v>
      </c>
      <c r="G49" s="87">
        <f t="shared" ref="G49:I49" si="37">F49</f>
        <v>0.01</v>
      </c>
      <c r="H49" s="87">
        <f t="shared" si="37"/>
        <v>0.01</v>
      </c>
      <c r="I49" s="87">
        <f t="shared" si="37"/>
        <v>0.01</v>
      </c>
      <c r="J49" s="197">
        <v>0.01</v>
      </c>
      <c r="K49" s="87">
        <f>J49</f>
        <v>0.01</v>
      </c>
      <c r="L49" s="87">
        <f>K49</f>
        <v>0.01</v>
      </c>
      <c r="M49" s="87">
        <v>0</v>
      </c>
      <c r="N49" s="87">
        <f>M49</f>
        <v>0</v>
      </c>
      <c r="O49" s="87">
        <f>N49</f>
        <v>0</v>
      </c>
      <c r="P49" s="87"/>
      <c r="U49" s="31"/>
    </row>
    <row r="50" spans="1:21" ht="15" customHeight="1">
      <c r="A50" s="85">
        <v>40</v>
      </c>
      <c r="B50" s="83" t="s">
        <v>24</v>
      </c>
      <c r="C50" s="83" t="s">
        <v>28</v>
      </c>
      <c r="D50" s="215">
        <f>(0+(D47+D48)/2)*D49/12</f>
        <v>60.607955380579597</v>
      </c>
      <c r="E50" s="200">
        <f t="shared" ref="E50:H50" si="38">(D53+(E47+E48)/2)*E49/12</f>
        <v>144.45012337792318</v>
      </c>
      <c r="F50" s="88">
        <f>(E53+(F47+F48)/2)*F49/12</f>
        <v>170.92849835129479</v>
      </c>
      <c r="G50" s="88">
        <f t="shared" si="38"/>
        <v>303.01362212444735</v>
      </c>
      <c r="H50" s="88">
        <f t="shared" si="38"/>
        <v>725.73681994224592</v>
      </c>
      <c r="I50" s="88">
        <f>(H53+(I47+I48)/2)*I49/12</f>
        <v>985.23631226705731</v>
      </c>
      <c r="J50" s="88">
        <f t="shared" ref="J50:O50" si="39">(I53+(J47+J48)/2)*J49/12</f>
        <v>652.81184728367759</v>
      </c>
      <c r="K50" s="88">
        <f t="shared" si="39"/>
        <v>406.64537810103093</v>
      </c>
      <c r="L50" s="88">
        <f t="shared" si="39"/>
        <v>365.36585716514713</v>
      </c>
      <c r="M50" s="88">
        <f t="shared" si="39"/>
        <v>0</v>
      </c>
      <c r="N50" s="88">
        <f t="shared" si="39"/>
        <v>0</v>
      </c>
      <c r="O50" s="88">
        <f t="shared" si="39"/>
        <v>0</v>
      </c>
      <c r="P50" s="88"/>
      <c r="Q50" s="88">
        <f>SUM(D50:F50)</f>
        <v>375.98657710979757</v>
      </c>
      <c r="R50" s="88">
        <f>SUM(G50:I50)</f>
        <v>2013.9867543337505</v>
      </c>
      <c r="S50" s="88">
        <f>SUM(J50:L50)</f>
        <v>1424.8230825498558</v>
      </c>
      <c r="T50" s="88">
        <f>SUM(M50:O50)</f>
        <v>0</v>
      </c>
      <c r="U50" s="88">
        <f>SUM(D50:O50)</f>
        <v>3814.7964139934038</v>
      </c>
    </row>
    <row r="51" spans="1:21" ht="15" customHeight="1">
      <c r="A51" s="89">
        <v>41</v>
      </c>
      <c r="B51" s="90" t="s">
        <v>25</v>
      </c>
      <c r="C51" s="91"/>
      <c r="D51" s="92">
        <f t="shared" ref="D51:N51" si="40">D47+D48+D50</f>
        <v>145519.70086877162</v>
      </c>
      <c r="E51" s="201">
        <f t="shared" si="40"/>
        <v>55785.34449285033</v>
      </c>
      <c r="F51" s="92">
        <f>F47+F48+F50</f>
        <v>7789.2338182148578</v>
      </c>
      <c r="G51" s="92">
        <f t="shared" si="40"/>
        <v>309347.14836112445</v>
      </c>
      <c r="H51" s="92">
        <f t="shared" si="40"/>
        <v>705611.2495994101</v>
      </c>
      <c r="I51" s="92">
        <f t="shared" si="40"/>
        <v>-82552.968527538222</v>
      </c>
      <c r="J51" s="92">
        <f t="shared" si="40"/>
        <v>-715598.1718975564</v>
      </c>
      <c r="K51" s="92">
        <f t="shared" si="40"/>
        <v>124552.47939002181</v>
      </c>
      <c r="L51" s="92">
        <f t="shared" si="40"/>
        <v>-223664.6091570791</v>
      </c>
      <c r="M51" s="92">
        <f t="shared" si="40"/>
        <v>0</v>
      </c>
      <c r="N51" s="92">
        <f t="shared" si="40"/>
        <v>0</v>
      </c>
      <c r="O51" s="92">
        <f>O47+O48+O50</f>
        <v>0</v>
      </c>
      <c r="P51" s="92"/>
      <c r="Q51" s="92">
        <f t="shared" ref="Q51:R51" si="41">Q47+Q48+Q50</f>
        <v>209094.2791798368</v>
      </c>
      <c r="R51" s="92">
        <f t="shared" si="41"/>
        <v>932405.42943299643</v>
      </c>
      <c r="S51" s="92">
        <f t="shared" ref="S51:T51" si="42">S47+S48+S50</f>
        <v>-814710.30166461365</v>
      </c>
      <c r="T51" s="92">
        <f t="shared" si="42"/>
        <v>0</v>
      </c>
      <c r="U51" s="92">
        <f>U47+U48+U50</f>
        <v>326789.4069482194</v>
      </c>
    </row>
    <row r="52" spans="1:21" ht="15" customHeight="1">
      <c r="A52" s="49">
        <v>42</v>
      </c>
      <c r="B52" s="13"/>
      <c r="C52" s="28"/>
      <c r="D52" s="78"/>
      <c r="E52" s="192"/>
      <c r="F52" s="78"/>
      <c r="G52" s="78"/>
      <c r="H52" s="78"/>
      <c r="I52" s="78"/>
      <c r="J52" s="78"/>
      <c r="K52" s="78"/>
      <c r="L52" s="78"/>
      <c r="M52" s="78"/>
      <c r="N52" s="78"/>
      <c r="O52" s="78"/>
      <c r="P52" s="78"/>
      <c r="U52" s="31"/>
    </row>
    <row r="53" spans="1:21" ht="15" customHeight="1">
      <c r="A53" s="28">
        <v>43</v>
      </c>
      <c r="B53" s="13" t="s">
        <v>94</v>
      </c>
      <c r="C53" s="28" t="str">
        <f>"Σ(("&amp;A$47&amp;"), ("&amp;A48&amp;"), ("&amp;A50&amp;"))"</f>
        <v>Σ((37), (38), (40))</v>
      </c>
      <c r="D53" s="216">
        <f>0+D47+D48+D50</f>
        <v>145519.70086877162</v>
      </c>
      <c r="E53" s="189">
        <f t="shared" ref="E53:G53" si="43">D53+E47+E48+E50</f>
        <v>201305.04536162197</v>
      </c>
      <c r="F53" s="77">
        <f>E53+F47+F48+F50</f>
        <v>209094.27917983683</v>
      </c>
      <c r="G53" s="77">
        <f t="shared" si="43"/>
        <v>518441.42754096125</v>
      </c>
      <c r="H53" s="77">
        <f>G53+H47+H48+H50</f>
        <v>1224052.6771403714</v>
      </c>
      <c r="I53" s="77">
        <f>H53+I47+I48+I50</f>
        <v>1141499.7086128332</v>
      </c>
      <c r="J53" s="77">
        <f>I53+J47+J48+J50</f>
        <v>425901.53671527677</v>
      </c>
      <c r="K53" s="77">
        <f t="shared" ref="K53:O53" si="44">J53+K47+K48+K50</f>
        <v>550454.01610529865</v>
      </c>
      <c r="L53" s="77">
        <f t="shared" si="44"/>
        <v>326789.40694821952</v>
      </c>
      <c r="M53" s="77">
        <f t="shared" si="44"/>
        <v>326789.40694821952</v>
      </c>
      <c r="N53" s="77">
        <f t="shared" si="44"/>
        <v>326789.40694821952</v>
      </c>
      <c r="O53" s="77">
        <f t="shared" si="44"/>
        <v>326789.40694821952</v>
      </c>
      <c r="P53" s="77"/>
      <c r="U53" s="31"/>
    </row>
    <row r="54" spans="1:21" ht="15" customHeight="1">
      <c r="A54" s="28">
        <v>44</v>
      </c>
      <c r="B54" s="13" t="s">
        <v>153</v>
      </c>
      <c r="C54" s="28"/>
      <c r="D54" s="77"/>
      <c r="E54" s="189"/>
      <c r="F54" s="77"/>
      <c r="G54" s="77"/>
      <c r="H54" s="77"/>
      <c r="I54" s="77"/>
      <c r="J54" s="77">
        <f>I53*J49/12</f>
        <v>951.24975717736106</v>
      </c>
      <c r="K54" s="77">
        <f>J55*K49/12</f>
        <v>952.04246530834223</v>
      </c>
      <c r="L54" s="77">
        <f t="shared" ref="L54:O54" si="45">K55*L49/12</f>
        <v>952.83583402943259</v>
      </c>
      <c r="M54" s="77">
        <f t="shared" si="45"/>
        <v>0</v>
      </c>
      <c r="N54" s="77">
        <f t="shared" si="45"/>
        <v>0</v>
      </c>
      <c r="O54" s="77">
        <f t="shared" si="45"/>
        <v>0</v>
      </c>
      <c r="P54" s="77"/>
      <c r="U54" s="31"/>
    </row>
    <row r="55" spans="1:21" ht="15" customHeight="1">
      <c r="A55" s="28">
        <v>45</v>
      </c>
      <c r="B55" s="13" t="s">
        <v>154</v>
      </c>
      <c r="C55" s="28"/>
      <c r="D55" s="77"/>
      <c r="E55" s="189"/>
      <c r="F55" s="77"/>
      <c r="G55" s="77"/>
      <c r="H55" s="77"/>
      <c r="I55" s="77"/>
      <c r="J55" s="77">
        <f>I53+J54</f>
        <v>1142450.9583700106</v>
      </c>
      <c r="K55" s="77">
        <f>J55+K54</f>
        <v>1143403.000835319</v>
      </c>
      <c r="L55" s="77">
        <f t="shared" ref="L55:O55" si="46">K55+L54</f>
        <v>1144355.8366693484</v>
      </c>
      <c r="M55" s="77">
        <f t="shared" si="46"/>
        <v>1144355.8366693484</v>
      </c>
      <c r="N55" s="77">
        <f t="shared" si="46"/>
        <v>1144355.8366693484</v>
      </c>
      <c r="O55" s="77">
        <f t="shared" si="46"/>
        <v>1144355.8366693484</v>
      </c>
      <c r="P55" s="77"/>
      <c r="U55" s="31"/>
    </row>
    <row r="56" spans="1:21" ht="15" customHeight="1">
      <c r="A56" s="28">
        <v>46</v>
      </c>
      <c r="B56" s="13" t="s">
        <v>155</v>
      </c>
      <c r="C56" s="28"/>
      <c r="D56" s="77"/>
      <c r="E56" s="189"/>
      <c r="F56" s="77"/>
      <c r="G56" s="77"/>
      <c r="H56" s="77"/>
      <c r="I56" s="77"/>
      <c r="J56" s="77">
        <f>J50-J54</f>
        <v>-298.43790989368347</v>
      </c>
      <c r="K56" s="77">
        <f t="shared" ref="K56:O56" si="47">K50-K54</f>
        <v>-545.3970872073113</v>
      </c>
      <c r="L56" s="77">
        <f t="shared" si="47"/>
        <v>-587.4699768642854</v>
      </c>
      <c r="M56" s="77">
        <f t="shared" si="47"/>
        <v>0</v>
      </c>
      <c r="N56" s="77">
        <f t="shared" si="47"/>
        <v>0</v>
      </c>
      <c r="O56" s="77">
        <f t="shared" si="47"/>
        <v>0</v>
      </c>
      <c r="P56" s="77"/>
      <c r="U56" s="60"/>
    </row>
    <row r="57" spans="1:21" ht="15" customHeight="1">
      <c r="A57" s="28"/>
      <c r="B57" s="209"/>
      <c r="C57" s="28"/>
      <c r="D57" s="77"/>
      <c r="E57" s="189"/>
      <c r="F57" s="77"/>
      <c r="G57" s="77"/>
      <c r="H57" s="77"/>
      <c r="I57" s="77"/>
      <c r="J57" s="77"/>
      <c r="K57" s="77"/>
      <c r="L57" s="77"/>
      <c r="M57" s="77"/>
      <c r="N57" s="77"/>
      <c r="O57" s="77"/>
      <c r="P57" s="77"/>
      <c r="Q57" s="29"/>
      <c r="R57" s="29"/>
      <c r="S57" s="29"/>
      <c r="T57" s="29"/>
      <c r="U57" s="60"/>
    </row>
    <row r="58" spans="1:21" ht="15" customHeight="1">
      <c r="A58" s="28"/>
      <c r="B58" s="1" t="s">
        <v>26</v>
      </c>
      <c r="C58" s="28"/>
      <c r="D58" s="77"/>
      <c r="E58" s="189"/>
      <c r="F58" s="77"/>
      <c r="G58" s="77"/>
      <c r="H58" s="77"/>
      <c r="I58" s="77"/>
      <c r="J58" s="77"/>
      <c r="K58" s="77"/>
      <c r="L58" s="77"/>
      <c r="M58" s="77"/>
      <c r="N58" s="77"/>
      <c r="O58" s="77"/>
      <c r="P58" s="77"/>
      <c r="Q58" s="29"/>
      <c r="R58" s="29"/>
      <c r="S58" s="29"/>
      <c r="T58" s="29"/>
      <c r="U58" s="60"/>
    </row>
    <row r="59" spans="1:21" ht="15" customHeight="1">
      <c r="A59" s="28"/>
      <c r="B59" s="1"/>
      <c r="C59" s="28"/>
      <c r="D59" s="77"/>
      <c r="E59" s="189"/>
      <c r="F59" s="77"/>
      <c r="G59" s="77"/>
      <c r="H59" s="77"/>
      <c r="I59" s="77"/>
      <c r="J59" s="77"/>
      <c r="K59" s="77"/>
      <c r="L59" s="77"/>
      <c r="M59" s="77"/>
      <c r="N59" s="77"/>
      <c r="O59" s="77"/>
      <c r="P59" s="77"/>
      <c r="Q59" s="125"/>
      <c r="R59" s="125"/>
      <c r="S59" s="29"/>
      <c r="T59" s="29"/>
      <c r="U59" s="60"/>
    </row>
    <row r="60" spans="1:21" ht="15" customHeight="1">
      <c r="A60" s="28">
        <v>1</v>
      </c>
      <c r="B60" s="13" t="s">
        <v>70</v>
      </c>
      <c r="C60" s="28" t="s">
        <v>71</v>
      </c>
      <c r="D60" s="105">
        <v>1554</v>
      </c>
      <c r="E60" s="217">
        <v>1573</v>
      </c>
      <c r="F60" s="105">
        <v>1549</v>
      </c>
      <c r="G60" s="105">
        <v>1554</v>
      </c>
      <c r="H60" s="105">
        <v>1550</v>
      </c>
      <c r="I60" s="105">
        <v>1557</v>
      </c>
      <c r="J60" s="105">
        <v>1556</v>
      </c>
      <c r="K60" s="105">
        <v>1561</v>
      </c>
      <c r="L60" s="105">
        <v>1585</v>
      </c>
      <c r="M60" s="105">
        <v>0</v>
      </c>
      <c r="N60" s="105">
        <v>0</v>
      </c>
      <c r="O60" s="105">
        <v>0</v>
      </c>
      <c r="P60" s="105"/>
      <c r="Q60" s="29">
        <f>SUM(D60:F60)</f>
        <v>4676</v>
      </c>
      <c r="R60" s="29">
        <f>SUM(G60:I60)</f>
        <v>4661</v>
      </c>
      <c r="S60" s="29">
        <f>SUM(J60:L60)</f>
        <v>4702</v>
      </c>
      <c r="T60" s="29">
        <f>SUM(M60:O60)</f>
        <v>0</v>
      </c>
      <c r="U60" s="60">
        <f>SUM(D60:O60)</f>
        <v>14039</v>
      </c>
    </row>
    <row r="61" spans="1:21" ht="15" customHeight="1">
      <c r="A61" s="28">
        <v>2</v>
      </c>
      <c r="B61" s="13" t="s">
        <v>101</v>
      </c>
      <c r="C61" s="28" t="s">
        <v>71</v>
      </c>
      <c r="D61" s="105">
        <v>977180.53502000007</v>
      </c>
      <c r="E61" s="217">
        <v>1085183.3235899999</v>
      </c>
      <c r="F61" s="105">
        <v>1251523.79064</v>
      </c>
      <c r="G61" s="105">
        <v>1958649.2277500001</v>
      </c>
      <c r="H61" s="105">
        <v>2450853.7742599999</v>
      </c>
      <c r="I61" s="105">
        <v>3541831.8953899997</v>
      </c>
      <c r="J61" s="105">
        <v>3430815.6942600003</v>
      </c>
      <c r="K61" s="105">
        <v>3350027.5584200001</v>
      </c>
      <c r="L61" s="105">
        <v>2721993.71563</v>
      </c>
      <c r="M61" s="105">
        <v>0</v>
      </c>
      <c r="N61" s="105">
        <v>0</v>
      </c>
      <c r="O61" s="105">
        <v>0</v>
      </c>
      <c r="P61" s="105"/>
      <c r="Q61" s="29">
        <f>SUM(D61:F61)</f>
        <v>3313887.6492499998</v>
      </c>
      <c r="R61" s="29">
        <f>SUM(G61:I61)</f>
        <v>7951334.8973999992</v>
      </c>
      <c r="S61" s="29">
        <f>SUM(J61:L61)</f>
        <v>9502836.9683100004</v>
      </c>
      <c r="T61" s="29">
        <f>SUM(M61:O61)</f>
        <v>0</v>
      </c>
      <c r="U61" s="60">
        <f>SUM(D61:O61)</f>
        <v>20768059.514959998</v>
      </c>
    </row>
    <row r="62" spans="1:21" ht="15" customHeight="1">
      <c r="A62" s="28">
        <v>3</v>
      </c>
      <c r="B62" s="13" t="s">
        <v>73</v>
      </c>
      <c r="C62" s="28" t="s">
        <v>71</v>
      </c>
      <c r="D62" s="106">
        <v>348684.40525000001</v>
      </c>
      <c r="E62" s="218">
        <v>369226.69524999999</v>
      </c>
      <c r="F62" s="106">
        <v>328206.27375599998</v>
      </c>
      <c r="G62" s="106">
        <v>474091.97936200001</v>
      </c>
      <c r="H62" s="106">
        <v>626136.06093399995</v>
      </c>
      <c r="I62" s="106">
        <v>843193.18087999988</v>
      </c>
      <c r="J62" s="106">
        <v>1038726.094784</v>
      </c>
      <c r="K62" s="106">
        <v>770411.45842000016</v>
      </c>
      <c r="L62" s="106">
        <v>845850.23057200003</v>
      </c>
      <c r="M62" s="106">
        <v>0</v>
      </c>
      <c r="N62" s="106">
        <v>0</v>
      </c>
      <c r="O62" s="106">
        <v>0</v>
      </c>
      <c r="P62" s="106"/>
      <c r="Q62" s="125">
        <f>SUM(D62:F62)</f>
        <v>1046117.3742559999</v>
      </c>
      <c r="R62" s="125">
        <f>SUM(G62:I62)</f>
        <v>1943421.2211759998</v>
      </c>
      <c r="S62" s="29">
        <f>SUM(J62:L62)</f>
        <v>2654987.7837760001</v>
      </c>
      <c r="T62" s="29">
        <f>SUM(M62:O62)</f>
        <v>0</v>
      </c>
      <c r="U62" s="60">
        <f>SUM(D62:O62)</f>
        <v>5644526.3792080004</v>
      </c>
    </row>
    <row r="63" spans="1:21" ht="15" customHeight="1">
      <c r="A63" s="28">
        <v>4</v>
      </c>
      <c r="B63" s="13" t="s">
        <v>74</v>
      </c>
      <c r="C63" s="28" t="s">
        <v>71</v>
      </c>
      <c r="D63" s="106">
        <v>165073.26</v>
      </c>
      <c r="E63" s="218">
        <v>167313.18999999997</v>
      </c>
      <c r="F63" s="106">
        <v>162804.35</v>
      </c>
      <c r="G63" s="106">
        <v>158670.10999999999</v>
      </c>
      <c r="H63" s="106">
        <v>158251.26</v>
      </c>
      <c r="I63" s="106">
        <v>159308.24</v>
      </c>
      <c r="J63" s="106">
        <v>147438.39999999999</v>
      </c>
      <c r="K63" s="106">
        <v>153176.65</v>
      </c>
      <c r="L63" s="106">
        <v>180186.56999999998</v>
      </c>
      <c r="M63" s="106">
        <v>0</v>
      </c>
      <c r="N63" s="106">
        <v>0</v>
      </c>
      <c r="O63" s="106">
        <v>0</v>
      </c>
      <c r="P63" s="106"/>
      <c r="Q63" s="125">
        <f>SUM(D63:F63)</f>
        <v>495190.79999999993</v>
      </c>
      <c r="R63" s="125">
        <f>SUM(G63:I63)</f>
        <v>476229.61</v>
      </c>
      <c r="S63" s="29">
        <f>SUM(J63:L63)</f>
        <v>480801.62</v>
      </c>
      <c r="T63" s="29">
        <f>SUM(M63:O63)</f>
        <v>0</v>
      </c>
      <c r="U63" s="60">
        <f>SUM(D63:O63)</f>
        <v>1452222.0299999998</v>
      </c>
    </row>
    <row r="64" spans="1:21" ht="15" customHeight="1">
      <c r="A64" s="28">
        <v>5</v>
      </c>
      <c r="B64" s="13"/>
      <c r="C64" s="28"/>
      <c r="D64" s="77"/>
      <c r="E64" s="189"/>
      <c r="F64" s="77"/>
      <c r="G64" s="77"/>
      <c r="H64" s="77"/>
      <c r="I64" s="77"/>
      <c r="J64" s="77"/>
      <c r="K64" s="77"/>
      <c r="L64" s="77"/>
      <c r="M64" s="77"/>
      <c r="N64" s="77"/>
      <c r="O64" s="77"/>
      <c r="P64" s="77"/>
      <c r="Q64" s="29"/>
      <c r="R64" s="29"/>
      <c r="S64" s="29"/>
      <c r="T64" s="29"/>
      <c r="U64" s="60"/>
    </row>
    <row r="65" spans="1:21" ht="15" customHeight="1">
      <c r="A65" s="28">
        <v>6</v>
      </c>
      <c r="B65" s="71" t="str">
        <f t="shared" ref="B65:C68" si="48">B16</f>
        <v>Existing Customers</v>
      </c>
      <c r="C65" s="28"/>
      <c r="D65" s="77"/>
      <c r="E65" s="189"/>
      <c r="F65" s="77"/>
      <c r="G65" s="77"/>
      <c r="H65" s="77"/>
      <c r="I65" s="77"/>
      <c r="J65" s="77"/>
      <c r="K65" s="77"/>
      <c r="L65" s="77"/>
      <c r="M65" s="77"/>
      <c r="N65" s="77"/>
      <c r="O65" s="77"/>
      <c r="P65" s="77"/>
      <c r="Q65" s="29"/>
      <c r="R65" s="29"/>
      <c r="S65" s="29"/>
      <c r="T65" s="29"/>
      <c r="U65" s="60"/>
    </row>
    <row r="66" spans="1:21" ht="15" customHeight="1">
      <c r="A66" s="28">
        <v>7</v>
      </c>
      <c r="B66" s="13" t="str">
        <f t="shared" si="48"/>
        <v>Actual Customers on System During Test Year</v>
      </c>
      <c r="C66" s="28" t="str">
        <f t="shared" si="48"/>
        <v>(1) - (22)</v>
      </c>
      <c r="D66" s="73">
        <f t="shared" ref="D66:N66" si="49">D60-D81</f>
        <v>1491</v>
      </c>
      <c r="E66" s="187">
        <f t="shared" si="49"/>
        <v>1505</v>
      </c>
      <c r="F66" s="73">
        <f t="shared" si="49"/>
        <v>1538</v>
      </c>
      <c r="G66" s="73">
        <f t="shared" si="49"/>
        <v>1541</v>
      </c>
      <c r="H66" s="73">
        <f t="shared" si="49"/>
        <v>1537</v>
      </c>
      <c r="I66" s="73">
        <f t="shared" si="49"/>
        <v>1545</v>
      </c>
      <c r="J66" s="73">
        <f t="shared" si="49"/>
        <v>1542</v>
      </c>
      <c r="K66" s="73">
        <f t="shared" si="49"/>
        <v>1544</v>
      </c>
      <c r="L66" s="73">
        <f t="shared" si="49"/>
        <v>1566</v>
      </c>
      <c r="M66" s="73">
        <f t="shared" si="49"/>
        <v>0</v>
      </c>
      <c r="N66" s="73">
        <f t="shared" si="49"/>
        <v>0</v>
      </c>
      <c r="O66" s="73">
        <f>O60-O81</f>
        <v>0</v>
      </c>
      <c r="P66" s="73"/>
      <c r="Q66" s="29">
        <f>SUM(D66:F66)</f>
        <v>4534</v>
      </c>
      <c r="R66" s="29">
        <f>SUM(G66:I66)</f>
        <v>4623</v>
      </c>
      <c r="S66" s="29">
        <f>SUM(J66:L66)</f>
        <v>4652</v>
      </c>
      <c r="T66" s="29">
        <f>SUM(M66:O66)</f>
        <v>0</v>
      </c>
      <c r="U66" s="60">
        <f>SUM(D66:O66)</f>
        <v>13809</v>
      </c>
    </row>
    <row r="67" spans="1:21" ht="15" customHeight="1">
      <c r="A67" s="74">
        <v>8</v>
      </c>
      <c r="B67" s="13" t="str">
        <f t="shared" si="48"/>
        <v>Monthly FCA Revenue per Customer</v>
      </c>
      <c r="C67" s="28" t="str">
        <f t="shared" si="48"/>
        <v>Page 3</v>
      </c>
      <c r="D67" s="75">
        <v>159.92644695968579</v>
      </c>
      <c r="E67" s="188">
        <v>196.64431172335128</v>
      </c>
      <c r="F67" s="75">
        <v>188.74854843329769</v>
      </c>
      <c r="G67" s="75">
        <v>284.17385542911114</v>
      </c>
      <c r="H67" s="75">
        <v>380.75852221097716</v>
      </c>
      <c r="I67" s="75">
        <v>429.06812693138909</v>
      </c>
      <c r="J67" s="75">
        <v>460.37058023734278</v>
      </c>
      <c r="K67" s="75">
        <v>426.44145693811606</v>
      </c>
      <c r="L67" s="75">
        <v>336.93667604044896</v>
      </c>
      <c r="M67" s="75">
        <v>272.47841431473307</v>
      </c>
      <c r="N67" s="75">
        <v>195.49812376215172</v>
      </c>
      <c r="O67" s="75">
        <v>165.47477417356569</v>
      </c>
      <c r="P67" s="75"/>
      <c r="Q67" s="67">
        <f>Q68/Q66</f>
        <v>181.89132974215858</v>
      </c>
      <c r="R67" s="67">
        <f>R68/R66</f>
        <v>364.70863421231417</v>
      </c>
      <c r="S67" s="67">
        <f t="shared" ref="S67:T67" si="50">S68/S66</f>
        <v>407.55801352488754</v>
      </c>
      <c r="T67" s="67" t="e">
        <f t="shared" si="50"/>
        <v>#DIV/0!</v>
      </c>
      <c r="U67" s="55">
        <f>U68/U66</f>
        <v>319.11819711291565</v>
      </c>
    </row>
    <row r="68" spans="1:21" ht="15" customHeight="1">
      <c r="A68" s="28">
        <v>9</v>
      </c>
      <c r="B68" s="13" t="str">
        <f t="shared" si="48"/>
        <v>Fixed Cost Adjustment Revenue</v>
      </c>
      <c r="C68" s="28" t="str">
        <f t="shared" si="48"/>
        <v>(7) x (8)</v>
      </c>
      <c r="D68" s="77">
        <f t="shared" ref="D68:N68" si="51">D66*D67</f>
        <v>238450.33241689153</v>
      </c>
      <c r="E68" s="189">
        <f t="shared" si="51"/>
        <v>295949.68914364366</v>
      </c>
      <c r="F68" s="77">
        <f t="shared" si="51"/>
        <v>290295.26749041182</v>
      </c>
      <c r="G68" s="77">
        <f t="shared" si="51"/>
        <v>437911.91121626028</v>
      </c>
      <c r="H68" s="77">
        <f t="shared" si="51"/>
        <v>585225.84863827191</v>
      </c>
      <c r="I68" s="77">
        <f t="shared" si="51"/>
        <v>662910.25610899611</v>
      </c>
      <c r="J68" s="77">
        <f t="shared" si="51"/>
        <v>709891.4347259826</v>
      </c>
      <c r="K68" s="77">
        <f t="shared" si="51"/>
        <v>658425.60951245122</v>
      </c>
      <c r="L68" s="77">
        <f t="shared" si="51"/>
        <v>527642.83467934304</v>
      </c>
      <c r="M68" s="77">
        <f t="shared" si="51"/>
        <v>0</v>
      </c>
      <c r="N68" s="77">
        <f t="shared" si="51"/>
        <v>0</v>
      </c>
      <c r="O68" s="222">
        <f>O66*O67+0</f>
        <v>0</v>
      </c>
      <c r="P68" s="77"/>
      <c r="Q68" s="30">
        <f>SUM(D68:F68)</f>
        <v>824695.28905094694</v>
      </c>
      <c r="R68" s="30">
        <f>SUM(G68:I68)</f>
        <v>1686048.0159635283</v>
      </c>
      <c r="S68" s="30">
        <f>SUM(J68:L68)</f>
        <v>1895959.8789177767</v>
      </c>
      <c r="T68" s="30">
        <f>SUM(M68:O68)</f>
        <v>0</v>
      </c>
      <c r="U68" s="61">
        <f>SUM(D68:O68)</f>
        <v>4406703.1839322522</v>
      </c>
    </row>
    <row r="69" spans="1:21" ht="15" customHeight="1">
      <c r="A69" s="28">
        <v>10</v>
      </c>
      <c r="B69" s="13"/>
      <c r="C69" s="28"/>
      <c r="D69" s="78"/>
      <c r="E69" s="192"/>
      <c r="F69" s="78"/>
      <c r="G69" s="78"/>
      <c r="H69" s="78"/>
      <c r="I69" s="78"/>
      <c r="J69" s="78"/>
      <c r="K69" s="78"/>
      <c r="L69" s="78"/>
      <c r="M69" s="78"/>
      <c r="N69" s="78"/>
      <c r="O69" s="78"/>
      <c r="P69" s="78"/>
      <c r="Q69" s="31"/>
      <c r="R69" s="31"/>
      <c r="U69" s="31"/>
    </row>
    <row r="70" spans="1:21" ht="15" customHeight="1">
      <c r="A70" s="28">
        <v>11</v>
      </c>
      <c r="B70" s="13" t="str">
        <f t="shared" ref="B70:C72" si="52">B21</f>
        <v>Actual Base Rate Revenue</v>
      </c>
      <c r="C70" s="28" t="str">
        <f t="shared" si="52"/>
        <v>(3) - (26)</v>
      </c>
      <c r="D70" s="77">
        <f t="shared" ref="D70:O71" si="53">D62-D85</f>
        <v>329398.09525000001</v>
      </c>
      <c r="E70" s="189">
        <f t="shared" si="53"/>
        <v>349565.63524999999</v>
      </c>
      <c r="F70" s="77">
        <f t="shared" si="53"/>
        <v>323845.853756</v>
      </c>
      <c r="G70" s="77">
        <f t="shared" si="53"/>
        <v>466278.86936200003</v>
      </c>
      <c r="H70" s="77">
        <f t="shared" si="53"/>
        <v>616450.23093399999</v>
      </c>
      <c r="I70" s="77">
        <f t="shared" si="53"/>
        <v>834079.10087999993</v>
      </c>
      <c r="J70" s="77">
        <f t="shared" si="53"/>
        <v>1027760.9347839999</v>
      </c>
      <c r="K70" s="77">
        <f t="shared" si="53"/>
        <v>758352.34842000017</v>
      </c>
      <c r="L70" s="77">
        <f t="shared" si="53"/>
        <v>834857.13057200005</v>
      </c>
      <c r="M70" s="77">
        <f t="shared" si="53"/>
        <v>0</v>
      </c>
      <c r="N70" s="77">
        <f t="shared" si="53"/>
        <v>0</v>
      </c>
      <c r="O70" s="77">
        <f t="shared" si="53"/>
        <v>0</v>
      </c>
      <c r="P70" s="77"/>
      <c r="Q70" s="77">
        <f t="shared" ref="Q70:T70" si="54">Q62-Q85</f>
        <v>1002809.5842559999</v>
      </c>
      <c r="R70" s="77">
        <f t="shared" si="54"/>
        <v>1916808.2011759998</v>
      </c>
      <c r="S70" s="77">
        <f t="shared" si="54"/>
        <v>2620970.413776</v>
      </c>
      <c r="T70" s="77">
        <f t="shared" si="54"/>
        <v>0</v>
      </c>
      <c r="U70" s="77">
        <f>U62-U85</f>
        <v>5540588.1992080007</v>
      </c>
    </row>
    <row r="71" spans="1:21" ht="15" customHeight="1">
      <c r="A71" s="28">
        <v>12</v>
      </c>
      <c r="B71" s="13" t="str">
        <f t="shared" si="52"/>
        <v>Actual Fixed Charge Revenue</v>
      </c>
      <c r="C71" s="28" t="str">
        <f t="shared" si="52"/>
        <v>(4) - (27)</v>
      </c>
      <c r="D71" s="77">
        <f t="shared" si="53"/>
        <v>158458.11000000002</v>
      </c>
      <c r="E71" s="189">
        <f t="shared" si="53"/>
        <v>160298.61999999997</v>
      </c>
      <c r="F71" s="77">
        <f t="shared" si="53"/>
        <v>161557.55000000002</v>
      </c>
      <c r="G71" s="77">
        <f t="shared" si="53"/>
        <v>155732.94999999998</v>
      </c>
      <c r="H71" s="77">
        <f t="shared" si="53"/>
        <v>156924.87</v>
      </c>
      <c r="I71" s="77">
        <f t="shared" si="53"/>
        <v>158083.88999999998</v>
      </c>
      <c r="J71" s="77">
        <f t="shared" si="53"/>
        <v>146009.97999999998</v>
      </c>
      <c r="K71" s="77">
        <f t="shared" si="53"/>
        <v>151442.18</v>
      </c>
      <c r="L71" s="77">
        <f t="shared" si="53"/>
        <v>178302.43999999997</v>
      </c>
      <c r="M71" s="77">
        <f t="shared" si="53"/>
        <v>0</v>
      </c>
      <c r="N71" s="77">
        <f t="shared" si="53"/>
        <v>0</v>
      </c>
      <c r="O71" s="77">
        <f t="shared" si="53"/>
        <v>0</v>
      </c>
      <c r="P71" s="77"/>
      <c r="Q71" s="77">
        <f t="shared" ref="Q71:U71" si="55">Q63-Q86</f>
        <v>480314.27999999991</v>
      </c>
      <c r="R71" s="77">
        <f t="shared" si="55"/>
        <v>470741.70999999996</v>
      </c>
      <c r="S71" s="77">
        <f t="shared" si="55"/>
        <v>475754.6</v>
      </c>
      <c r="T71" s="77">
        <f t="shared" si="55"/>
        <v>0</v>
      </c>
      <c r="U71" s="77">
        <f t="shared" si="55"/>
        <v>1426810.5899999999</v>
      </c>
    </row>
    <row r="72" spans="1:21" ht="15" customHeight="1">
      <c r="A72" s="28">
        <v>13</v>
      </c>
      <c r="B72" s="13" t="str">
        <f t="shared" si="52"/>
        <v>Actual Usage (Therms)</v>
      </c>
      <c r="C72" s="28" t="str">
        <f t="shared" si="52"/>
        <v>(2) - (28)</v>
      </c>
      <c r="D72" s="73">
        <f t="shared" ref="D72:O72" si="56">D61-D87</f>
        <v>911041.65802000009</v>
      </c>
      <c r="E72" s="187">
        <f t="shared" si="56"/>
        <v>1019342.6225899999</v>
      </c>
      <c r="F72" s="73">
        <f t="shared" si="56"/>
        <v>1235600.9376400001</v>
      </c>
      <c r="G72" s="73">
        <f t="shared" si="56"/>
        <v>1928970.8457500001</v>
      </c>
      <c r="H72" s="73">
        <f t="shared" si="56"/>
        <v>2409645.4422599999</v>
      </c>
      <c r="I72" s="73">
        <f t="shared" si="56"/>
        <v>3505505.6293899999</v>
      </c>
      <c r="J72" s="73">
        <f t="shared" si="56"/>
        <v>3386119.6132600005</v>
      </c>
      <c r="K72" s="73">
        <f t="shared" si="56"/>
        <v>3302846.3854200002</v>
      </c>
      <c r="L72" s="73">
        <f t="shared" si="56"/>
        <v>2680558.4426299999</v>
      </c>
      <c r="M72" s="73">
        <f t="shared" si="56"/>
        <v>0</v>
      </c>
      <c r="N72" s="73">
        <f t="shared" si="56"/>
        <v>0</v>
      </c>
      <c r="O72" s="73">
        <f t="shared" si="56"/>
        <v>0</v>
      </c>
      <c r="P72" s="73"/>
      <c r="Q72" s="73">
        <f t="shared" ref="Q72:U72" si="57">Q61-Q87</f>
        <v>3165985.2182499999</v>
      </c>
      <c r="R72" s="73">
        <f t="shared" si="57"/>
        <v>7844121.9173999988</v>
      </c>
      <c r="S72" s="73">
        <f t="shared" si="57"/>
        <v>9369524.4413099997</v>
      </c>
      <c r="T72" s="73">
        <f t="shared" si="57"/>
        <v>0</v>
      </c>
      <c r="U72" s="73">
        <f t="shared" si="57"/>
        <v>20379631.576959997</v>
      </c>
    </row>
    <row r="73" spans="1:21" ht="9" customHeight="1">
      <c r="A73" s="28">
        <v>14</v>
      </c>
      <c r="B73" s="13"/>
      <c r="C73" s="28"/>
      <c r="D73" s="79"/>
      <c r="E73" s="194"/>
      <c r="F73" s="79"/>
      <c r="G73" s="79"/>
      <c r="H73" s="79"/>
      <c r="I73" s="79"/>
      <c r="J73" s="79"/>
      <c r="K73" s="79"/>
      <c r="L73" s="79"/>
      <c r="M73" s="79"/>
      <c r="N73" s="79"/>
      <c r="O73" s="79"/>
      <c r="P73" s="79"/>
      <c r="Q73" s="31"/>
      <c r="R73" s="31"/>
      <c r="U73" s="107">
        <f>U74/U72</f>
        <v>0</v>
      </c>
    </row>
    <row r="74" spans="1:21" ht="9" customHeight="1">
      <c r="A74" s="28">
        <v>15</v>
      </c>
      <c r="B74" s="13"/>
      <c r="C74" s="28"/>
      <c r="D74" s="77"/>
      <c r="E74" s="189"/>
      <c r="F74" s="77"/>
      <c r="G74" s="77"/>
      <c r="H74" s="77"/>
      <c r="I74" s="77"/>
      <c r="J74" s="77"/>
      <c r="K74" s="77"/>
      <c r="L74" s="77"/>
      <c r="M74" s="77"/>
      <c r="N74" s="77"/>
      <c r="O74" s="77"/>
      <c r="P74" s="77"/>
      <c r="Q74" s="31"/>
      <c r="R74" s="31"/>
      <c r="U74" s="61"/>
    </row>
    <row r="75" spans="1:21" ht="15" customHeight="1">
      <c r="A75" s="28">
        <v>16</v>
      </c>
      <c r="B75" s="13" t="str">
        <f>B26</f>
        <v>Customer Fixed Cost Adjustment Revenue</v>
      </c>
      <c r="C75" s="28" t="str">
        <f>C26</f>
        <v>(11) - (12) -(15)</v>
      </c>
      <c r="D75" s="77">
        <f t="shared" ref="D75:O75" si="58">D70-D71-D74</f>
        <v>170939.98525</v>
      </c>
      <c r="E75" s="189">
        <f t="shared" si="58"/>
        <v>189267.01525000003</v>
      </c>
      <c r="F75" s="77">
        <f t="shared" si="58"/>
        <v>162288.30375599998</v>
      </c>
      <c r="G75" s="77">
        <f t="shared" si="58"/>
        <v>310545.91936200007</v>
      </c>
      <c r="H75" s="77">
        <f t="shared" si="58"/>
        <v>459525.360934</v>
      </c>
      <c r="I75" s="77">
        <f t="shared" si="58"/>
        <v>675995.21087999991</v>
      </c>
      <c r="J75" s="77">
        <f t="shared" si="58"/>
        <v>881750.95478399994</v>
      </c>
      <c r="K75" s="77">
        <f t="shared" si="58"/>
        <v>606910.16842000023</v>
      </c>
      <c r="L75" s="77">
        <f t="shared" si="58"/>
        <v>656554.69057200011</v>
      </c>
      <c r="M75" s="77">
        <f t="shared" si="58"/>
        <v>0</v>
      </c>
      <c r="N75" s="77">
        <f t="shared" si="58"/>
        <v>0</v>
      </c>
      <c r="O75" s="77">
        <f t="shared" si="58"/>
        <v>0</v>
      </c>
      <c r="P75" s="77"/>
      <c r="Q75" s="30">
        <f>SUM(D75:F75)</f>
        <v>522495.30425599997</v>
      </c>
      <c r="R75" s="30">
        <f>SUM(G75:I75)</f>
        <v>1446066.4911759999</v>
      </c>
      <c r="S75" s="30">
        <f>SUM(J75:L75)</f>
        <v>2145215.8137760004</v>
      </c>
      <c r="T75" s="30">
        <f>SUM(M75:O75)</f>
        <v>0</v>
      </c>
      <c r="U75" s="61">
        <f>SUM(D75:O75)</f>
        <v>4113777.6092079999</v>
      </c>
    </row>
    <row r="76" spans="1:21" ht="15" customHeight="1">
      <c r="A76" s="28">
        <v>17</v>
      </c>
      <c r="B76" s="3" t="s">
        <v>27</v>
      </c>
      <c r="C76" s="28"/>
      <c r="D76" s="96">
        <f t="shared" ref="D76:O76" si="59">D75/D66</f>
        <v>114.64787743125419</v>
      </c>
      <c r="E76" s="205">
        <f t="shared" si="59"/>
        <v>125.75881411960134</v>
      </c>
      <c r="F76" s="96">
        <f t="shared" si="59"/>
        <v>105.51905315734719</v>
      </c>
      <c r="G76" s="96">
        <f t="shared" si="59"/>
        <v>201.52233573134333</v>
      </c>
      <c r="H76" s="96">
        <f t="shared" si="59"/>
        <v>298.97551134287573</v>
      </c>
      <c r="I76" s="96">
        <f t="shared" si="59"/>
        <v>437.53735332038832</v>
      </c>
      <c r="J76" s="96">
        <f t="shared" si="59"/>
        <v>571.82292787548636</v>
      </c>
      <c r="K76" s="96">
        <f t="shared" si="59"/>
        <v>393.07653395077733</v>
      </c>
      <c r="L76" s="96">
        <f t="shared" si="59"/>
        <v>419.25586881992342</v>
      </c>
      <c r="M76" s="96" t="e">
        <f t="shared" si="59"/>
        <v>#DIV/0!</v>
      </c>
      <c r="N76" s="96" t="e">
        <f t="shared" si="59"/>
        <v>#DIV/0!</v>
      </c>
      <c r="O76" s="96" t="e">
        <f t="shared" si="59"/>
        <v>#DIV/0!</v>
      </c>
      <c r="P76" s="96"/>
      <c r="Q76" s="67">
        <f t="shared" ref="Q76:U76" si="60">Q75/Q66</f>
        <v>115.23937014909572</v>
      </c>
      <c r="R76" s="67">
        <f t="shared" si="60"/>
        <v>312.79828924421366</v>
      </c>
      <c r="S76" s="67">
        <f t="shared" si="60"/>
        <v>461.13839505073094</v>
      </c>
      <c r="T76" s="67" t="e">
        <f t="shared" si="60"/>
        <v>#DIV/0!</v>
      </c>
      <c r="U76" s="67">
        <f t="shared" si="60"/>
        <v>297.90554053211673</v>
      </c>
    </row>
    <row r="77" spans="1:21" ht="15" customHeight="1">
      <c r="A77" s="28">
        <v>18</v>
      </c>
      <c r="B77" s="13" t="str">
        <f>B28</f>
        <v>Existing Customer Deferral - Surcharge (Rebate)</v>
      </c>
      <c r="C77" s="28" t="str">
        <f>C28</f>
        <v>(9) - (16)</v>
      </c>
      <c r="D77" s="77">
        <f t="shared" ref="D77:O77" si="61">D68-D75</f>
        <v>67510.34716689153</v>
      </c>
      <c r="E77" s="189">
        <f t="shared" si="61"/>
        <v>106682.67389364363</v>
      </c>
      <c r="F77" s="77">
        <f t="shared" si="61"/>
        <v>128006.96373441184</v>
      </c>
      <c r="G77" s="77">
        <f t="shared" si="61"/>
        <v>127365.99185426021</v>
      </c>
      <c r="H77" s="77">
        <f t="shared" si="61"/>
        <v>125700.48770427192</v>
      </c>
      <c r="I77" s="77">
        <f t="shared" si="61"/>
        <v>-13084.954771003802</v>
      </c>
      <c r="J77" s="77">
        <f t="shared" si="61"/>
        <v>-171859.52005801734</v>
      </c>
      <c r="K77" s="77">
        <f t="shared" si="61"/>
        <v>51515.441092450987</v>
      </c>
      <c r="L77" s="77">
        <f t="shared" si="61"/>
        <v>-128911.85589265707</v>
      </c>
      <c r="M77" s="77">
        <f t="shared" si="61"/>
        <v>0</v>
      </c>
      <c r="N77" s="77">
        <f t="shared" si="61"/>
        <v>0</v>
      </c>
      <c r="O77" s="77">
        <f t="shared" si="61"/>
        <v>0</v>
      </c>
      <c r="P77" s="77"/>
      <c r="Q77" s="30">
        <f>SUM(D77:F77)</f>
        <v>302199.98479494697</v>
      </c>
      <c r="R77" s="30">
        <f>SUM(G77:I77)</f>
        <v>239981.52478752832</v>
      </c>
      <c r="S77" s="30">
        <f>SUM(J77:L77)</f>
        <v>-249255.93485822342</v>
      </c>
      <c r="T77" s="30">
        <f>SUM(M77:O77)</f>
        <v>0</v>
      </c>
      <c r="U77" s="61">
        <f>SUM(D77:O78)</f>
        <v>292925.57472425187</v>
      </c>
    </row>
    <row r="78" spans="1:21" ht="9" customHeight="1">
      <c r="A78" s="28">
        <v>19</v>
      </c>
      <c r="B78" s="13"/>
      <c r="C78" s="28"/>
      <c r="D78" s="77"/>
      <c r="E78" s="189"/>
      <c r="F78" s="77"/>
      <c r="G78" s="77"/>
      <c r="H78" s="77"/>
      <c r="I78" s="77"/>
      <c r="J78" s="77"/>
      <c r="K78" s="77"/>
      <c r="L78" s="77"/>
      <c r="M78" s="77"/>
      <c r="N78" s="77"/>
      <c r="O78" s="77"/>
      <c r="P78" s="77"/>
      <c r="Q78" s="31"/>
      <c r="R78" s="31"/>
      <c r="U78" s="31"/>
    </row>
    <row r="79" spans="1:21" ht="9" customHeight="1">
      <c r="A79" s="28">
        <v>20</v>
      </c>
      <c r="B79" s="13"/>
      <c r="C79" s="28"/>
      <c r="D79" s="77"/>
      <c r="E79" s="189"/>
      <c r="F79" s="77"/>
      <c r="G79" s="77"/>
      <c r="H79" s="77"/>
      <c r="I79" s="77"/>
      <c r="J79" s="77"/>
      <c r="K79" s="77"/>
      <c r="L79" s="77"/>
      <c r="M79" s="77"/>
      <c r="N79" s="77"/>
      <c r="O79" s="77"/>
      <c r="P79" s="77"/>
      <c r="Q79" s="31"/>
      <c r="R79" s="31"/>
      <c r="U79" s="60"/>
    </row>
    <row r="80" spans="1:21" ht="15" customHeight="1">
      <c r="A80" s="28">
        <v>21</v>
      </c>
      <c r="B80" s="71" t="str">
        <f>B31</f>
        <v>New Customers</v>
      </c>
      <c r="C80" s="28"/>
      <c r="D80" s="77"/>
      <c r="E80" s="189"/>
      <c r="F80" s="77"/>
      <c r="G80" s="77"/>
      <c r="H80" s="77"/>
      <c r="I80" s="77"/>
      <c r="J80" s="77"/>
      <c r="K80" s="77"/>
      <c r="L80" s="77"/>
      <c r="M80" s="77"/>
      <c r="N80" s="77"/>
      <c r="O80" s="77"/>
      <c r="P80" s="77"/>
      <c r="Q80" s="31"/>
      <c r="R80" s="31"/>
      <c r="U80" s="55"/>
    </row>
    <row r="81" spans="1:28" ht="15" customHeight="1">
      <c r="A81" s="28">
        <v>22</v>
      </c>
      <c r="B81" s="13" t="str">
        <f>B32</f>
        <v>Actual Customers New Since Test Year</v>
      </c>
      <c r="C81" s="28" t="str">
        <f>C32</f>
        <v>Revenue Reports</v>
      </c>
      <c r="D81" s="105">
        <v>63</v>
      </c>
      <c r="E81" s="217">
        <v>68</v>
      </c>
      <c r="F81" s="105">
        <v>11</v>
      </c>
      <c r="G81" s="105">
        <v>13</v>
      </c>
      <c r="H81" s="105">
        <v>13</v>
      </c>
      <c r="I81" s="105">
        <v>12</v>
      </c>
      <c r="J81" s="105">
        <v>14</v>
      </c>
      <c r="K81" s="105">
        <v>17</v>
      </c>
      <c r="L81" s="105">
        <v>19</v>
      </c>
      <c r="M81" s="105">
        <v>0</v>
      </c>
      <c r="N81" s="105">
        <v>0</v>
      </c>
      <c r="O81" s="105">
        <v>0</v>
      </c>
      <c r="P81" s="105"/>
      <c r="Q81" s="29">
        <f>SUM(D81:F81)</f>
        <v>142</v>
      </c>
      <c r="R81" s="29">
        <f>SUM(G81:I81)</f>
        <v>38</v>
      </c>
      <c r="S81" s="29">
        <f>SUM(J81:L81)</f>
        <v>50</v>
      </c>
      <c r="T81" s="29">
        <f>SUM(M81:O81)</f>
        <v>0</v>
      </c>
      <c r="U81" s="60">
        <f>SUM(D81:O81)</f>
        <v>230</v>
      </c>
    </row>
    <row r="82" spans="1:28" ht="15" customHeight="1">
      <c r="A82" s="28">
        <v>23</v>
      </c>
      <c r="B82" s="13" t="str">
        <f>B33</f>
        <v>Monthly FCA Revenue per Customer</v>
      </c>
      <c r="C82" s="28" t="str">
        <f>C33</f>
        <v>Page 3</v>
      </c>
      <c r="D82" s="75">
        <v>138.71808246998273</v>
      </c>
      <c r="E82" s="188">
        <v>170.56667217629797</v>
      </c>
      <c r="F82" s="75">
        <v>160.96529036911537</v>
      </c>
      <c r="G82" s="75">
        <v>242.34425924935158</v>
      </c>
      <c r="H82" s="75">
        <v>324.71193339992357</v>
      </c>
      <c r="I82" s="75">
        <v>365.91049951332775</v>
      </c>
      <c r="J82" s="75">
        <v>392.60531930124847</v>
      </c>
      <c r="K82" s="75">
        <v>363.67046799159954</v>
      </c>
      <c r="L82" s="75">
        <v>287.34054033809804</v>
      </c>
      <c r="M82" s="75">
        <v>232.37035433407198</v>
      </c>
      <c r="N82" s="75">
        <v>166.72134710012196</v>
      </c>
      <c r="O82" s="75">
        <v>141.11735054229914</v>
      </c>
      <c r="P82" s="75"/>
      <c r="Q82" s="67">
        <f>Q83/Q81</f>
        <v>155.69289505392567</v>
      </c>
      <c r="R82" s="67">
        <f>R83/R81</f>
        <v>309.54359206843446</v>
      </c>
      <c r="S82" s="67">
        <f t="shared" ref="S82:T82" si="62">S83/S81</f>
        <v>342.76685384997063</v>
      </c>
      <c r="T82" s="67" t="e">
        <f t="shared" si="62"/>
        <v>#DIV/0!</v>
      </c>
      <c r="U82" s="55">
        <f>U83/U81</f>
        <v>221.7799577772021</v>
      </c>
    </row>
    <row r="83" spans="1:28" ht="15" customHeight="1">
      <c r="A83" s="28">
        <v>24</v>
      </c>
      <c r="B83" s="13" t="str">
        <f>B34</f>
        <v>Fixed Cost Adjustment Revenue</v>
      </c>
      <c r="C83" s="28" t="str">
        <f>C34</f>
        <v>(22) x (23)</v>
      </c>
      <c r="D83" s="77">
        <f t="shared" ref="D83:N83" si="63">D81*D82</f>
        <v>8739.2391956089123</v>
      </c>
      <c r="E83" s="189">
        <f t="shared" si="63"/>
        <v>11598.533707988263</v>
      </c>
      <c r="F83" s="77">
        <f t="shared" si="63"/>
        <v>1770.6181940602689</v>
      </c>
      <c r="G83" s="77">
        <f t="shared" si="63"/>
        <v>3150.4753702415705</v>
      </c>
      <c r="H83" s="77">
        <f t="shared" si="63"/>
        <v>4221.2551341990065</v>
      </c>
      <c r="I83" s="77">
        <f t="shared" si="63"/>
        <v>4390.925994159933</v>
      </c>
      <c r="J83" s="77">
        <f t="shared" si="63"/>
        <v>5496.4744702174785</v>
      </c>
      <c r="K83" s="77">
        <f t="shared" si="63"/>
        <v>6182.3979558571918</v>
      </c>
      <c r="L83" s="77">
        <f t="shared" si="63"/>
        <v>5459.470266423863</v>
      </c>
      <c r="M83" s="77">
        <f t="shared" si="63"/>
        <v>0</v>
      </c>
      <c r="N83" s="77">
        <f t="shared" si="63"/>
        <v>0</v>
      </c>
      <c r="O83" s="222">
        <f>O81*O82+0</f>
        <v>0</v>
      </c>
      <c r="P83" s="77"/>
      <c r="Q83" s="30">
        <f>SUM(D83:F83)</f>
        <v>22108.391097657444</v>
      </c>
      <c r="R83" s="30">
        <f>SUM(G83:I83)</f>
        <v>11762.656498600511</v>
      </c>
      <c r="S83" s="30">
        <f>SUM(J83:L83)</f>
        <v>17138.342692498532</v>
      </c>
      <c r="T83" s="30">
        <f>SUM(M83:O83)</f>
        <v>0</v>
      </c>
      <c r="U83" s="61">
        <f>SUM(D83:O83)</f>
        <v>51009.390288756484</v>
      </c>
    </row>
    <row r="84" spans="1:28" ht="15" customHeight="1">
      <c r="A84" s="28">
        <v>25</v>
      </c>
      <c r="B84" s="13"/>
      <c r="C84" s="28"/>
      <c r="D84" s="78"/>
      <c r="E84" s="192"/>
      <c r="F84" s="78"/>
      <c r="G84" s="78"/>
      <c r="H84" s="78"/>
      <c r="I84" s="78"/>
      <c r="J84" s="78"/>
      <c r="K84" s="78"/>
      <c r="L84" s="78"/>
      <c r="M84" s="78"/>
      <c r="N84" s="78"/>
      <c r="O84" s="78"/>
      <c r="P84" s="78"/>
      <c r="Q84" s="30"/>
      <c r="R84" s="30"/>
      <c r="S84" s="30"/>
      <c r="T84" s="30"/>
      <c r="U84" s="61"/>
    </row>
    <row r="85" spans="1:28" ht="15" customHeight="1">
      <c r="A85" s="28">
        <v>26</v>
      </c>
      <c r="B85" s="13" t="str">
        <f t="shared" ref="B85:C87" si="64">B36</f>
        <v>Actual Base Rate Revenue</v>
      </c>
      <c r="C85" s="28" t="str">
        <f t="shared" si="64"/>
        <v>Revenue Reports</v>
      </c>
      <c r="D85" s="106">
        <v>19286.310000000001</v>
      </c>
      <c r="E85" s="218">
        <v>19661.060000000001</v>
      </c>
      <c r="F85" s="106">
        <v>4360.42</v>
      </c>
      <c r="G85" s="106">
        <v>7813.11</v>
      </c>
      <c r="H85" s="106">
        <v>9685.83</v>
      </c>
      <c r="I85" s="106">
        <v>9114.08</v>
      </c>
      <c r="J85" s="106">
        <v>10965.16</v>
      </c>
      <c r="K85" s="106">
        <v>12059.11</v>
      </c>
      <c r="L85" s="106">
        <v>10993.1</v>
      </c>
      <c r="M85" s="106">
        <v>0</v>
      </c>
      <c r="N85" s="106">
        <v>0</v>
      </c>
      <c r="O85" s="106">
        <v>0</v>
      </c>
      <c r="P85" s="106"/>
      <c r="Q85" s="30">
        <f>SUM(D85:F85)</f>
        <v>43307.79</v>
      </c>
      <c r="R85" s="30">
        <f>SUM(G85:I85)</f>
        <v>26613.019999999997</v>
      </c>
      <c r="S85" s="30">
        <f>SUM(J85:L85)</f>
        <v>34017.370000000003</v>
      </c>
      <c r="T85" s="30">
        <f>SUM(M85:O85)</f>
        <v>0</v>
      </c>
      <c r="U85" s="61">
        <f>SUM(D85:O85)</f>
        <v>103938.18000000001</v>
      </c>
    </row>
    <row r="86" spans="1:28" ht="15" customHeight="1">
      <c r="A86" s="28">
        <v>27</v>
      </c>
      <c r="B86" s="13" t="str">
        <f t="shared" si="64"/>
        <v>Actual Fixed Charge Revenue</v>
      </c>
      <c r="C86" s="28" t="str">
        <f t="shared" si="64"/>
        <v>Revenue Reports</v>
      </c>
      <c r="D86" s="106">
        <v>6615.15</v>
      </c>
      <c r="E86" s="218">
        <v>7014.57</v>
      </c>
      <c r="F86" s="106">
        <v>1246.8</v>
      </c>
      <c r="G86" s="106">
        <v>2937.16</v>
      </c>
      <c r="H86" s="106">
        <v>1326.39</v>
      </c>
      <c r="I86" s="106">
        <v>1224.3499999999999</v>
      </c>
      <c r="J86" s="106">
        <v>1428.42</v>
      </c>
      <c r="K86" s="106">
        <v>1734.47</v>
      </c>
      <c r="L86" s="106">
        <v>1884.13</v>
      </c>
      <c r="M86" s="106">
        <v>0</v>
      </c>
      <c r="N86" s="106">
        <v>0</v>
      </c>
      <c r="O86" s="106">
        <v>0</v>
      </c>
      <c r="P86" s="106"/>
      <c r="Q86" s="30">
        <f>SUM(D86:F86)</f>
        <v>14876.519999999999</v>
      </c>
      <c r="R86" s="30">
        <f>SUM(G86:I86)</f>
        <v>5487.9</v>
      </c>
      <c r="S86" s="30">
        <f>SUM(J86:L86)</f>
        <v>5047.0200000000004</v>
      </c>
      <c r="T86" s="30">
        <f>SUM(M86:O86)</f>
        <v>0</v>
      </c>
      <c r="U86" s="61">
        <f>SUM(D86:O86)</f>
        <v>25411.439999999999</v>
      </c>
    </row>
    <row r="87" spans="1:28" ht="15" customHeight="1">
      <c r="A87" s="28">
        <v>28</v>
      </c>
      <c r="B87" s="13" t="str">
        <f t="shared" si="64"/>
        <v>Actual Usage (Therms)</v>
      </c>
      <c r="C87" s="28" t="str">
        <f t="shared" si="64"/>
        <v>Revenue Reports</v>
      </c>
      <c r="D87" s="105">
        <v>66138.876999999993</v>
      </c>
      <c r="E87" s="217">
        <v>65840.701000000001</v>
      </c>
      <c r="F87" s="105">
        <v>15922.852999999999</v>
      </c>
      <c r="G87" s="105">
        <v>29678.382000000001</v>
      </c>
      <c r="H87" s="105">
        <v>41208.332000000002</v>
      </c>
      <c r="I87" s="105">
        <v>36326.266000000003</v>
      </c>
      <c r="J87" s="105">
        <v>44696.080999999998</v>
      </c>
      <c r="K87" s="105">
        <v>47181.173000000003</v>
      </c>
      <c r="L87" s="105">
        <v>41435.273000000001</v>
      </c>
      <c r="M87" s="105">
        <v>0</v>
      </c>
      <c r="N87" s="105">
        <v>0</v>
      </c>
      <c r="O87" s="105">
        <v>0</v>
      </c>
      <c r="P87" s="105"/>
      <c r="Q87" s="123">
        <f>SUM(D87:F87)</f>
        <v>147902.43099999998</v>
      </c>
      <c r="R87" s="123">
        <f>SUM(G87:I87)</f>
        <v>107212.98000000001</v>
      </c>
      <c r="S87" s="30">
        <f>SUM(J87:L87)</f>
        <v>133312.527</v>
      </c>
      <c r="T87" s="30">
        <f>SUM(M87:O87)</f>
        <v>0</v>
      </c>
      <c r="U87" s="61">
        <f>SUM(D87:O87)</f>
        <v>388427.93799999997</v>
      </c>
    </row>
    <row r="88" spans="1:28" ht="9" customHeight="1">
      <c r="A88" s="28">
        <v>29</v>
      </c>
      <c r="B88" s="13"/>
      <c r="C88" s="28"/>
      <c r="D88" s="79"/>
      <c r="E88" s="194"/>
      <c r="F88" s="79"/>
      <c r="G88" s="79"/>
      <c r="H88" s="79"/>
      <c r="I88" s="79"/>
      <c r="J88" s="79"/>
      <c r="K88" s="79"/>
      <c r="L88" s="79"/>
      <c r="M88" s="79"/>
      <c r="N88" s="79"/>
      <c r="O88" s="79"/>
      <c r="P88" s="79"/>
      <c r="Q88" s="31"/>
      <c r="R88" s="31"/>
      <c r="U88" s="79">
        <f>U89/U87</f>
        <v>0</v>
      </c>
    </row>
    <row r="89" spans="1:28" ht="9" customHeight="1">
      <c r="A89" s="28">
        <v>30</v>
      </c>
      <c r="B89" s="13"/>
      <c r="C89" s="28"/>
      <c r="D89" s="77"/>
      <c r="E89" s="189"/>
      <c r="F89" s="77"/>
      <c r="G89" s="77"/>
      <c r="H89" s="77"/>
      <c r="I89" s="77"/>
      <c r="J89" s="77"/>
      <c r="K89" s="77"/>
      <c r="L89" s="77"/>
      <c r="M89" s="77"/>
      <c r="N89" s="77"/>
      <c r="O89" s="77"/>
      <c r="P89" s="77"/>
      <c r="Q89" s="31"/>
      <c r="R89" s="31"/>
      <c r="U89" s="61"/>
    </row>
    <row r="90" spans="1:28" ht="15" customHeight="1">
      <c r="A90" s="28">
        <v>31</v>
      </c>
      <c r="B90" s="13" t="str">
        <f>B41</f>
        <v>Fixed Production and UG Storage Rate per Therm</v>
      </c>
      <c r="C90" s="28" t="s">
        <v>95</v>
      </c>
      <c r="D90" s="193">
        <v>2.7814323976480756E-2</v>
      </c>
      <c r="E90" s="194">
        <f t="shared" ref="E90:O90" si="65">D90</f>
        <v>2.7814323976480756E-2</v>
      </c>
      <c r="F90" s="193">
        <v>3.0342479641261216E-2</v>
      </c>
      <c r="G90" s="79">
        <f t="shared" si="65"/>
        <v>3.0342479641261216E-2</v>
      </c>
      <c r="H90" s="79">
        <f t="shared" si="65"/>
        <v>3.0342479641261216E-2</v>
      </c>
      <c r="I90" s="79">
        <f t="shared" si="65"/>
        <v>3.0342479641261216E-2</v>
      </c>
      <c r="J90" s="79">
        <f t="shared" si="65"/>
        <v>3.0342479641261216E-2</v>
      </c>
      <c r="K90" s="79">
        <f t="shared" si="65"/>
        <v>3.0342479641261216E-2</v>
      </c>
      <c r="L90" s="79">
        <f t="shared" si="65"/>
        <v>3.0342479641261216E-2</v>
      </c>
      <c r="M90" s="79">
        <f t="shared" si="65"/>
        <v>3.0342479641261216E-2</v>
      </c>
      <c r="N90" s="79">
        <f t="shared" si="65"/>
        <v>3.0342479641261216E-2</v>
      </c>
      <c r="O90" s="79">
        <f t="shared" si="65"/>
        <v>3.0342479641261216E-2</v>
      </c>
      <c r="P90" s="79"/>
      <c r="Q90" s="79">
        <v>2.7813999999999998E-2</v>
      </c>
      <c r="R90" s="79">
        <v>2.7813999999999998E-2</v>
      </c>
      <c r="S90" s="79">
        <v>2.7813999999999998E-2</v>
      </c>
      <c r="T90" s="79">
        <v>2.7813999999999998E-2</v>
      </c>
      <c r="U90" s="79">
        <v>2.7813999999999998E-2</v>
      </c>
    </row>
    <row r="91" spans="1:28" ht="15" customHeight="1">
      <c r="A91" s="28">
        <v>32</v>
      </c>
      <c r="B91" s="13" t="str">
        <f>B42</f>
        <v>Fixed Production and UG Storage Revenue</v>
      </c>
      <c r="C91" s="28" t="str">
        <f>C42</f>
        <v>(30) x (31)</v>
      </c>
      <c r="D91" s="77">
        <f t="shared" ref="D91:O91" si="66">D87*D90</f>
        <v>1839.6081523186115</v>
      </c>
      <c r="E91" s="189">
        <f t="shared" si="66"/>
        <v>1831.3145884526004</v>
      </c>
      <c r="F91" s="77">
        <f t="shared" si="66"/>
        <v>483.13884298329504</v>
      </c>
      <c r="G91" s="77">
        <f t="shared" si="66"/>
        <v>900.5157016205734</v>
      </c>
      <c r="H91" s="77">
        <f t="shared" si="66"/>
        <v>1250.3629747603331</v>
      </c>
      <c r="I91" s="77">
        <f t="shared" si="66"/>
        <v>1102.2289865480395</v>
      </c>
      <c r="J91" s="77">
        <f t="shared" si="66"/>
        <v>1356.1899277866621</v>
      </c>
      <c r="K91" s="77">
        <f t="shared" si="66"/>
        <v>1431.5937812033235</v>
      </c>
      <c r="L91" s="77">
        <f t="shared" si="66"/>
        <v>1257.2489274326006</v>
      </c>
      <c r="M91" s="77">
        <f t="shared" si="66"/>
        <v>0</v>
      </c>
      <c r="N91" s="77">
        <f t="shared" si="66"/>
        <v>0</v>
      </c>
      <c r="O91" s="77">
        <f t="shared" si="66"/>
        <v>0</v>
      </c>
      <c r="P91" s="77"/>
      <c r="Q91" s="30">
        <f>SUM(D91:F91)</f>
        <v>4154.0615837545065</v>
      </c>
      <c r="R91" s="30">
        <f>SUM(G91:I91)</f>
        <v>3253.1076629289464</v>
      </c>
      <c r="S91" s="30">
        <f>SUM(J91:L91)</f>
        <v>4045.0326364225866</v>
      </c>
      <c r="T91" s="30">
        <f>SUM(M91:O91)</f>
        <v>0</v>
      </c>
      <c r="U91" s="61">
        <f>SUM(D91:O91)</f>
        <v>11452.201883106038</v>
      </c>
    </row>
    <row r="92" spans="1:28" ht="15" customHeight="1">
      <c r="A92" s="28">
        <v>33</v>
      </c>
      <c r="B92" s="13" t="str">
        <f>B43</f>
        <v>Customer Fixed Cost Adjustment Revenue</v>
      </c>
      <c r="C92" s="28" t="str">
        <f>C43</f>
        <v>(26) - (27) - (30) - (32)</v>
      </c>
      <c r="D92" s="77">
        <f t="shared" ref="D92:O92" si="67">D85-D86-D89-D91</f>
        <v>10831.55184768139</v>
      </c>
      <c r="E92" s="189">
        <f t="shared" si="67"/>
        <v>10815.175411547401</v>
      </c>
      <c r="F92" s="77">
        <f t="shared" si="67"/>
        <v>2630.4811570167049</v>
      </c>
      <c r="G92" s="77">
        <f t="shared" si="67"/>
        <v>3975.4342983794263</v>
      </c>
      <c r="H92" s="77">
        <f t="shared" si="67"/>
        <v>7109.0770252396669</v>
      </c>
      <c r="I92" s="77">
        <f t="shared" si="67"/>
        <v>6787.5010134519598</v>
      </c>
      <c r="J92" s="77">
        <f t="shared" si="67"/>
        <v>8180.5500722133374</v>
      </c>
      <c r="K92" s="77">
        <f t="shared" si="67"/>
        <v>8893.0462187966768</v>
      </c>
      <c r="L92" s="77">
        <f t="shared" si="67"/>
        <v>7851.7210725674004</v>
      </c>
      <c r="M92" s="77">
        <f t="shared" si="67"/>
        <v>0</v>
      </c>
      <c r="N92" s="77">
        <f t="shared" si="67"/>
        <v>0</v>
      </c>
      <c r="O92" s="77">
        <f t="shared" si="67"/>
        <v>0</v>
      </c>
      <c r="P92" s="77"/>
      <c r="Q92" s="30">
        <f>SUM(D92:F92)</f>
        <v>24277.208416245496</v>
      </c>
      <c r="R92" s="30">
        <f>SUM(G92:I92)</f>
        <v>17872.012337071053</v>
      </c>
      <c r="S92" s="30">
        <f>SUM(J92:L92)</f>
        <v>24925.317363577415</v>
      </c>
      <c r="T92" s="30">
        <f>SUM(M92:O92)</f>
        <v>0</v>
      </c>
      <c r="U92" s="61">
        <f>SUM(D92:O92)</f>
        <v>67074.538116893964</v>
      </c>
    </row>
    <row r="93" spans="1:28" ht="15" customHeight="1">
      <c r="A93" s="28">
        <v>34</v>
      </c>
      <c r="B93" s="3" t="s">
        <v>27</v>
      </c>
      <c r="C93" s="28"/>
      <c r="D93" s="80">
        <f t="shared" ref="D93:O93" si="68">D92/D81</f>
        <v>171.92939440764113</v>
      </c>
      <c r="E93" s="195">
        <f t="shared" si="68"/>
        <v>159.04669722863827</v>
      </c>
      <c r="F93" s="80">
        <f t="shared" si="68"/>
        <v>239.13465063788226</v>
      </c>
      <c r="G93" s="80">
        <f t="shared" si="68"/>
        <v>305.80263833687894</v>
      </c>
      <c r="H93" s="80">
        <f t="shared" si="68"/>
        <v>546.85207886458977</v>
      </c>
      <c r="I93" s="80">
        <f t="shared" si="68"/>
        <v>565.62508445433002</v>
      </c>
      <c r="J93" s="80">
        <f t="shared" si="68"/>
        <v>584.32500515809556</v>
      </c>
      <c r="K93" s="80">
        <f t="shared" si="68"/>
        <v>523.12036581156917</v>
      </c>
      <c r="L93" s="80">
        <f t="shared" si="68"/>
        <v>413.24847750354741</v>
      </c>
      <c r="M93" s="80" t="e">
        <f t="shared" si="68"/>
        <v>#DIV/0!</v>
      </c>
      <c r="N93" s="80" t="e">
        <f t="shared" si="68"/>
        <v>#DIV/0!</v>
      </c>
      <c r="O93" s="80" t="e">
        <f t="shared" si="68"/>
        <v>#DIV/0!</v>
      </c>
      <c r="P93" s="80"/>
      <c r="Q93" s="67">
        <f t="shared" ref="Q93:R93" si="69">Q92/Q81</f>
        <v>170.96625645243307</v>
      </c>
      <c r="R93" s="67">
        <f t="shared" si="69"/>
        <v>470.31611413344876</v>
      </c>
      <c r="S93" s="67">
        <f>S92/S81</f>
        <v>498.50634727154829</v>
      </c>
      <c r="T93" s="67" t="e">
        <f t="shared" ref="T93" si="70">T92/T81</f>
        <v>#DIV/0!</v>
      </c>
      <c r="U93" s="67">
        <f>U92/U81</f>
        <v>291.62842659519117</v>
      </c>
      <c r="V93" s="108"/>
      <c r="W93" s="108"/>
      <c r="X93" s="108"/>
      <c r="Y93" s="108"/>
      <c r="Z93" s="108"/>
      <c r="AA93" s="108"/>
      <c r="AB93" s="108"/>
    </row>
    <row r="94" spans="1:28" ht="15" customHeight="1">
      <c r="A94" s="28">
        <v>35</v>
      </c>
      <c r="B94" s="13" t="str">
        <f t="shared" ref="B94" si="71">B45</f>
        <v>New Customer Deferral - Surcharge (Rebate)</v>
      </c>
      <c r="C94" s="28" t="str">
        <f>C45</f>
        <v>(9) - (33)</v>
      </c>
      <c r="D94" s="77">
        <f t="shared" ref="D94:O94" si="72">D83-D92</f>
        <v>-2092.3126520724782</v>
      </c>
      <c r="E94" s="189">
        <f t="shared" si="72"/>
        <v>783.35829644086152</v>
      </c>
      <c r="F94" s="77">
        <f t="shared" si="72"/>
        <v>-859.86296295643592</v>
      </c>
      <c r="G94" s="77">
        <f t="shared" si="72"/>
        <v>-824.95892813785576</v>
      </c>
      <c r="H94" s="77">
        <f t="shared" si="72"/>
        <v>-2887.8218910406604</v>
      </c>
      <c r="I94" s="77">
        <f t="shared" si="72"/>
        <v>-2396.5750192920268</v>
      </c>
      <c r="J94" s="77">
        <f t="shared" si="72"/>
        <v>-2684.075601995859</v>
      </c>
      <c r="K94" s="77">
        <f t="shared" si="72"/>
        <v>-2710.648262939485</v>
      </c>
      <c r="L94" s="77">
        <f t="shared" si="72"/>
        <v>-2392.2508061435374</v>
      </c>
      <c r="M94" s="77">
        <f t="shared" si="72"/>
        <v>0</v>
      </c>
      <c r="N94" s="77">
        <f t="shared" si="72"/>
        <v>0</v>
      </c>
      <c r="O94" s="77">
        <f t="shared" si="72"/>
        <v>0</v>
      </c>
      <c r="P94" s="77"/>
      <c r="Q94" s="30">
        <f>SUM(D94:F94)</f>
        <v>-2168.8173185880523</v>
      </c>
      <c r="R94" s="30">
        <f>SUM(G94:I94)</f>
        <v>-6109.3558384705429</v>
      </c>
      <c r="S94" s="30">
        <f>SUM(J94:L94)</f>
        <v>-7786.9746710788813</v>
      </c>
      <c r="T94" s="30">
        <f>SUM(M94:O94)</f>
        <v>0</v>
      </c>
      <c r="U94" s="61">
        <f>SUM(D94:O94)</f>
        <v>-16065.147828137477</v>
      </c>
    </row>
    <row r="95" spans="1:28" ht="15" customHeight="1">
      <c r="A95" s="28">
        <v>36</v>
      </c>
      <c r="B95" s="13"/>
      <c r="C95" s="28"/>
      <c r="D95" s="77"/>
      <c r="E95" s="189"/>
      <c r="F95" s="77"/>
      <c r="G95" s="77"/>
      <c r="H95" s="77"/>
      <c r="I95" s="77"/>
      <c r="J95" s="77"/>
      <c r="K95" s="77"/>
      <c r="L95" s="77"/>
      <c r="M95" s="77"/>
      <c r="N95" s="77"/>
      <c r="O95" s="77"/>
      <c r="P95" s="77"/>
      <c r="Q95" s="31"/>
      <c r="R95" s="31"/>
      <c r="U95" s="31"/>
    </row>
    <row r="96" spans="1:28" ht="15" customHeight="1">
      <c r="A96" s="82">
        <v>37</v>
      </c>
      <c r="B96" s="83" t="s">
        <v>96</v>
      </c>
      <c r="C96" s="82" t="str">
        <f>C47</f>
        <v>(18) + (35)</v>
      </c>
      <c r="D96" s="84">
        <f t="shared" ref="D96:O96" si="73">D77+D94</f>
        <v>65418.034514819054</v>
      </c>
      <c r="E96" s="196">
        <f t="shared" si="73"/>
        <v>107466.03219008449</v>
      </c>
      <c r="F96" s="84">
        <f t="shared" si="73"/>
        <v>127147.1007714554</v>
      </c>
      <c r="G96" s="84">
        <f t="shared" si="73"/>
        <v>126541.03292612235</v>
      </c>
      <c r="H96" s="84">
        <f t="shared" si="73"/>
        <v>122812.66581323126</v>
      </c>
      <c r="I96" s="84">
        <f t="shared" si="73"/>
        <v>-15481.52979029583</v>
      </c>
      <c r="J96" s="84">
        <f t="shared" si="73"/>
        <v>-174543.5956600132</v>
      </c>
      <c r="K96" s="84">
        <f t="shared" si="73"/>
        <v>48804.792829511498</v>
      </c>
      <c r="L96" s="84">
        <f t="shared" si="73"/>
        <v>-131304.10669880061</v>
      </c>
      <c r="M96" s="84">
        <f t="shared" si="73"/>
        <v>0</v>
      </c>
      <c r="N96" s="84">
        <f t="shared" si="73"/>
        <v>0</v>
      </c>
      <c r="O96" s="84">
        <f t="shared" si="73"/>
        <v>0</v>
      </c>
      <c r="P96" s="84"/>
      <c r="Q96" s="84">
        <f>SUM(D96:F96)</f>
        <v>300031.16747635894</v>
      </c>
      <c r="R96" s="84">
        <f>SUM(G96:I96)</f>
        <v>233872.16894905778</v>
      </c>
      <c r="S96" s="84">
        <f>SUM(J96:L96)</f>
        <v>-257042.90952930233</v>
      </c>
      <c r="T96" s="84">
        <f>SUM(M96:O96)</f>
        <v>0</v>
      </c>
      <c r="U96" s="84">
        <f>SUM(D96:O96)</f>
        <v>276860.42689611448</v>
      </c>
    </row>
    <row r="97" spans="1:21" ht="15" customHeight="1">
      <c r="A97" s="82">
        <v>38</v>
      </c>
      <c r="B97" s="83" t="str">
        <f t="shared" ref="B97" si="74">B48</f>
        <v>Deferral - Revenue Related Expenses</v>
      </c>
      <c r="C97" s="82" t="str">
        <f>C48</f>
        <v>Rev Conv Factor</v>
      </c>
      <c r="D97" s="84">
        <f>D96*-D$108</f>
        <v>-381.9759035320285</v>
      </c>
      <c r="E97" s="196">
        <f t="shared" ref="E97" si="75">E96*-E$108</f>
        <v>-627.49416195790332</v>
      </c>
      <c r="F97" s="84">
        <f t="shared" ref="F97" si="76">F96*-F$108</f>
        <v>-553.59847675891683</v>
      </c>
      <c r="G97" s="84">
        <f t="shared" ref="G97" si="77">G96*-G$108</f>
        <v>-550.95965736033679</v>
      </c>
      <c r="H97" s="84">
        <f t="shared" ref="H97" si="78">H96*-H$108</f>
        <v>-534.72634695080887</v>
      </c>
      <c r="I97" s="84">
        <f t="shared" ref="I97" si="79">I96*-I$108</f>
        <v>67.406580706948048</v>
      </c>
      <c r="J97" s="84">
        <f t="shared" ref="J97" si="80">J96*-J$108</f>
        <v>759.96281550369758</v>
      </c>
      <c r="K97" s="84">
        <f t="shared" ref="K97" si="81">K96*-K$108</f>
        <v>-212.49606797969307</v>
      </c>
      <c r="L97" s="84">
        <f t="shared" ref="L97" si="82">L96*-L$108</f>
        <v>571.69808056657791</v>
      </c>
      <c r="M97" s="84">
        <f t="shared" ref="M97" si="83">M96*-M$108</f>
        <v>0</v>
      </c>
      <c r="N97" s="84">
        <f t="shared" ref="N97" si="84">N96*-N$108</f>
        <v>0</v>
      </c>
      <c r="O97" s="84">
        <f t="shared" ref="O97" si="85">O96*-O$108</f>
        <v>0</v>
      </c>
      <c r="P97" s="84"/>
      <c r="Q97" s="84">
        <f>SUM(D97:F97)</f>
        <v>-1563.0685422488486</v>
      </c>
      <c r="R97" s="84">
        <f>SUM(G97:I97)</f>
        <v>-1018.2794236041975</v>
      </c>
      <c r="S97" s="84">
        <f>SUM(J97:L97)</f>
        <v>1119.1648280905824</v>
      </c>
      <c r="T97" s="84">
        <f>SUM(M97:O97)</f>
        <v>0</v>
      </c>
      <c r="U97" s="84">
        <f>SUM(D97:O97)</f>
        <v>-1462.1831377624635</v>
      </c>
    </row>
    <row r="98" spans="1:21" ht="15" customHeight="1">
      <c r="A98" s="28">
        <v>39</v>
      </c>
      <c r="B98" s="13"/>
      <c r="C98" s="3" t="str">
        <f>C49</f>
        <v>Customer Deposit Rate</v>
      </c>
      <c r="D98" s="87">
        <f t="shared" ref="D98:O98" si="86">D49</f>
        <v>0.01</v>
      </c>
      <c r="E98" s="198">
        <f t="shared" si="86"/>
        <v>0.01</v>
      </c>
      <c r="F98" s="87">
        <f t="shared" si="86"/>
        <v>0.01</v>
      </c>
      <c r="G98" s="87">
        <f t="shared" si="86"/>
        <v>0.01</v>
      </c>
      <c r="H98" s="87">
        <f t="shared" si="86"/>
        <v>0.01</v>
      </c>
      <c r="I98" s="87">
        <f t="shared" si="86"/>
        <v>0.01</v>
      </c>
      <c r="J98" s="87">
        <f t="shared" si="86"/>
        <v>0.01</v>
      </c>
      <c r="K98" s="87">
        <f t="shared" si="86"/>
        <v>0.01</v>
      </c>
      <c r="L98" s="87">
        <f t="shared" si="86"/>
        <v>0.01</v>
      </c>
      <c r="M98" s="87">
        <f t="shared" si="86"/>
        <v>0</v>
      </c>
      <c r="N98" s="87">
        <f t="shared" si="86"/>
        <v>0</v>
      </c>
      <c r="O98" s="87">
        <f t="shared" si="86"/>
        <v>0</v>
      </c>
      <c r="P98" s="87"/>
      <c r="Q98" s="104"/>
      <c r="R98" s="104"/>
      <c r="S98" s="104"/>
      <c r="T98" s="104"/>
      <c r="U98" s="31"/>
    </row>
    <row r="99" spans="1:21" ht="15" customHeight="1">
      <c r="A99" s="82">
        <v>40</v>
      </c>
      <c r="B99" s="83" t="str">
        <f>B50</f>
        <v>Interest on Deferral</v>
      </c>
      <c r="C99" s="82" t="str">
        <f>C50</f>
        <v>Avg Balance Calc</v>
      </c>
      <c r="D99" s="215">
        <f>(0+(D96+D97)/2)*D98/12</f>
        <v>27.098357754702928</v>
      </c>
      <c r="E99" s="200">
        <f t="shared" ref="E99:O99" si="87">(D102+(E96+E97)/2)*E98/12</f>
        <v>98.735354985920836</v>
      </c>
      <c r="F99" s="88">
        <f>(E102+(F96+F97)/2)*F98/12</f>
        <v>196.08098458291872</v>
      </c>
      <c r="G99" s="88">
        <f t="shared" si="87"/>
        <v>301.48754188817884</v>
      </c>
      <c r="H99" s="88">
        <f t="shared" si="87"/>
        <v>405.18378681268672</v>
      </c>
      <c r="I99" s="88">
        <f t="shared" si="87"/>
        <v>450.04803007531876</v>
      </c>
      <c r="J99" s="88">
        <f t="shared" si="87"/>
        <v>371.59067174450706</v>
      </c>
      <c r="K99" s="88">
        <f t="shared" si="87"/>
        <v>319.73727393638683</v>
      </c>
      <c r="L99" s="88">
        <f t="shared" si="87"/>
        <v>285.77867505770791</v>
      </c>
      <c r="M99" s="88">
        <f t="shared" si="87"/>
        <v>0</v>
      </c>
      <c r="N99" s="88">
        <f t="shared" si="87"/>
        <v>0</v>
      </c>
      <c r="O99" s="88">
        <f t="shared" si="87"/>
        <v>0</v>
      </c>
      <c r="P99" s="88"/>
      <c r="Q99" s="84">
        <f>SUM(D99:F99)</f>
        <v>321.9146973235425</v>
      </c>
      <c r="R99" s="84">
        <f>SUM(G99:I99)</f>
        <v>1156.7193587761844</v>
      </c>
      <c r="S99" s="84">
        <f>SUM(J99:L99)</f>
        <v>977.1066207386018</v>
      </c>
      <c r="T99" s="84">
        <f>SUM(M99:O99)</f>
        <v>0</v>
      </c>
      <c r="U99" s="88">
        <f>SUM(D99:O99)</f>
        <v>2455.7406768383289</v>
      </c>
    </row>
    <row r="100" spans="1:21" ht="15" customHeight="1">
      <c r="A100" s="89">
        <v>41</v>
      </c>
      <c r="B100" s="90" t="s">
        <v>29</v>
      </c>
      <c r="C100" s="89"/>
      <c r="D100" s="92">
        <f t="shared" ref="D100:O100" si="88">D96+D97+D99</f>
        <v>65063.156969041724</v>
      </c>
      <c r="E100" s="201">
        <f t="shared" si="88"/>
        <v>106937.27338311251</v>
      </c>
      <c r="F100" s="92">
        <f t="shared" si="88"/>
        <v>126789.58327927941</v>
      </c>
      <c r="G100" s="92">
        <f t="shared" si="88"/>
        <v>126291.5608106502</v>
      </c>
      <c r="H100" s="92">
        <f t="shared" si="88"/>
        <v>122683.12325309314</v>
      </c>
      <c r="I100" s="92">
        <f t="shared" si="88"/>
        <v>-14964.075179513564</v>
      </c>
      <c r="J100" s="92">
        <f t="shared" si="88"/>
        <v>-173412.04217276498</v>
      </c>
      <c r="K100" s="92">
        <f t="shared" si="88"/>
        <v>48912.03403546819</v>
      </c>
      <c r="L100" s="92">
        <f t="shared" si="88"/>
        <v>-130446.62994317632</v>
      </c>
      <c r="M100" s="92">
        <f t="shared" si="88"/>
        <v>0</v>
      </c>
      <c r="N100" s="92">
        <f t="shared" si="88"/>
        <v>0</v>
      </c>
      <c r="O100" s="92">
        <f t="shared" si="88"/>
        <v>0</v>
      </c>
      <c r="P100" s="92"/>
      <c r="Q100" s="92">
        <f>Q96+Q97+Q99</f>
        <v>298790.0136314336</v>
      </c>
      <c r="R100" s="92">
        <f>R96+R97+R99</f>
        <v>234010.60888422976</v>
      </c>
      <c r="S100" s="92">
        <f t="shared" ref="S100:T100" si="89">S96+S97+S99</f>
        <v>-254946.63808047315</v>
      </c>
      <c r="T100" s="92">
        <f t="shared" si="89"/>
        <v>0</v>
      </c>
      <c r="U100" s="92">
        <f>U96+U97+U99</f>
        <v>277853.98443519033</v>
      </c>
    </row>
    <row r="101" spans="1:21" ht="15" customHeight="1">
      <c r="A101" s="28">
        <v>42</v>
      </c>
      <c r="B101" s="226" t="s">
        <v>97</v>
      </c>
      <c r="C101" s="28"/>
      <c r="D101" s="78"/>
      <c r="E101" s="192"/>
      <c r="F101" s="78"/>
      <c r="G101" s="78"/>
      <c r="H101" s="78"/>
      <c r="I101" s="78"/>
      <c r="J101" s="78"/>
      <c r="K101" s="78"/>
      <c r="L101" s="78"/>
      <c r="M101" s="78"/>
      <c r="N101" s="78"/>
      <c r="O101" s="78"/>
      <c r="P101" s="78"/>
    </row>
    <row r="102" spans="1:21" ht="15" customHeight="1">
      <c r="A102" s="74">
        <v>43</v>
      </c>
      <c r="B102" s="226"/>
      <c r="C102" s="74" t="str">
        <f t="shared" ref="C102" si="90">C53</f>
        <v>Σ((37), (38), (40))</v>
      </c>
      <c r="D102" s="219">
        <f>0+D96+D97+D99</f>
        <v>65063.156969041724</v>
      </c>
      <c r="E102" s="207">
        <f t="shared" ref="E102:H102" si="91">D102+E96+E97+E99</f>
        <v>172000.43035215422</v>
      </c>
      <c r="F102" s="98">
        <f>E102+F96+F97+F99</f>
        <v>298790.0136314336</v>
      </c>
      <c r="G102" s="98">
        <f t="shared" si="91"/>
        <v>425081.57444208383</v>
      </c>
      <c r="H102" s="98">
        <f t="shared" si="91"/>
        <v>547764.69769517693</v>
      </c>
      <c r="I102" s="98">
        <f>H102+I96+I97+I99</f>
        <v>532800.62251566327</v>
      </c>
      <c r="J102" s="98">
        <f t="shared" ref="J102:O102" si="92">I102+J96+J97+J99</f>
        <v>359388.58034289826</v>
      </c>
      <c r="K102" s="98">
        <f t="shared" si="92"/>
        <v>408300.6143783665</v>
      </c>
      <c r="L102" s="98">
        <f t="shared" si="92"/>
        <v>277853.98443519021</v>
      </c>
      <c r="M102" s="98">
        <f t="shared" si="92"/>
        <v>277853.98443519021</v>
      </c>
      <c r="N102" s="98">
        <f t="shared" si="92"/>
        <v>277853.98443519021</v>
      </c>
      <c r="O102" s="98">
        <f t="shared" si="92"/>
        <v>277853.98443519021</v>
      </c>
      <c r="P102" s="98"/>
    </row>
    <row r="103" spans="1:21" ht="15" customHeight="1">
      <c r="A103" s="74">
        <v>44</v>
      </c>
      <c r="B103" s="13" t="s">
        <v>153</v>
      </c>
      <c r="C103" s="74"/>
      <c r="D103" s="98"/>
      <c r="E103" s="207"/>
      <c r="F103" s="98"/>
      <c r="G103" s="98"/>
      <c r="H103" s="98"/>
      <c r="I103" s="98"/>
      <c r="J103" s="77">
        <f>I102*J98/12</f>
        <v>444.00051876305275</v>
      </c>
      <c r="K103" s="77">
        <f>J104*K98/12</f>
        <v>444.37051919535526</v>
      </c>
      <c r="L103" s="77">
        <f t="shared" ref="L103:O103" si="93">K104*L98/12</f>
        <v>444.74082796135144</v>
      </c>
      <c r="M103" s="77">
        <f t="shared" si="93"/>
        <v>0</v>
      </c>
      <c r="N103" s="77">
        <f t="shared" si="93"/>
        <v>0</v>
      </c>
      <c r="O103" s="77">
        <f t="shared" si="93"/>
        <v>0</v>
      </c>
      <c r="P103" s="77"/>
    </row>
    <row r="104" spans="1:21" ht="15" customHeight="1">
      <c r="A104" s="74">
        <v>45</v>
      </c>
      <c r="B104" s="13" t="s">
        <v>154</v>
      </c>
      <c r="C104" s="74"/>
      <c r="D104" s="98"/>
      <c r="E104" s="207"/>
      <c r="F104" s="98"/>
      <c r="G104" s="98"/>
      <c r="H104" s="98"/>
      <c r="I104" s="98"/>
      <c r="J104" s="77">
        <f>I102+J103</f>
        <v>533244.62303442636</v>
      </c>
      <c r="K104" s="77">
        <f>J104+K103</f>
        <v>533688.99355362169</v>
      </c>
      <c r="L104" s="77">
        <f t="shared" ref="L104:O104" si="94">K104+L103</f>
        <v>534133.73438158305</v>
      </c>
      <c r="M104" s="77">
        <f t="shared" si="94"/>
        <v>534133.73438158305</v>
      </c>
      <c r="N104" s="77">
        <f t="shared" si="94"/>
        <v>534133.73438158305</v>
      </c>
      <c r="O104" s="77">
        <f t="shared" si="94"/>
        <v>534133.73438158305</v>
      </c>
      <c r="P104" s="77"/>
    </row>
    <row r="105" spans="1:21" ht="15" customHeight="1">
      <c r="A105" s="28">
        <v>46</v>
      </c>
      <c r="B105" s="13" t="s">
        <v>155</v>
      </c>
      <c r="C105" s="227" t="str">
        <f>"Res line("&amp;A$53&amp;") +Non-Res line ("&amp;A102&amp;")"</f>
        <v>Res line(43) +Non-Res line (43)</v>
      </c>
      <c r="D105" s="98"/>
      <c r="E105" s="207"/>
      <c r="F105" s="98"/>
      <c r="G105" s="98"/>
      <c r="H105" s="98"/>
      <c r="I105" s="98"/>
      <c r="J105" s="77">
        <f>J99-J103</f>
        <v>-72.40984701854569</v>
      </c>
      <c r="K105" s="77">
        <f t="shared" ref="K105:O105" si="95">K99-K103</f>
        <v>-124.63324525896843</v>
      </c>
      <c r="L105" s="77">
        <f t="shared" si="95"/>
        <v>-158.96215290364353</v>
      </c>
      <c r="M105" s="77">
        <f t="shared" si="95"/>
        <v>0</v>
      </c>
      <c r="N105" s="77">
        <f t="shared" si="95"/>
        <v>0</v>
      </c>
      <c r="O105" s="77">
        <f t="shared" si="95"/>
        <v>0</v>
      </c>
      <c r="P105" s="77"/>
    </row>
    <row r="106" spans="1:21" ht="15" customHeight="1">
      <c r="A106" s="74">
        <v>47</v>
      </c>
      <c r="B106" s="99" t="s">
        <v>98</v>
      </c>
      <c r="C106" s="227"/>
      <c r="D106" s="100">
        <f t="shared" ref="D106:O106" si="96">D53+D102</f>
        <v>210582.85783781332</v>
      </c>
      <c r="E106" s="208">
        <f t="shared" si="96"/>
        <v>373305.47571377619</v>
      </c>
      <c r="F106" s="100">
        <f t="shared" si="96"/>
        <v>507884.29281127045</v>
      </c>
      <c r="G106" s="100">
        <f t="shared" si="96"/>
        <v>943523.00198304513</v>
      </c>
      <c r="H106" s="100">
        <f t="shared" si="96"/>
        <v>1771817.3748355485</v>
      </c>
      <c r="I106" s="100">
        <f t="shared" si="96"/>
        <v>1674300.3311284964</v>
      </c>
      <c r="J106" s="100">
        <f t="shared" si="96"/>
        <v>785290.11705817503</v>
      </c>
      <c r="K106" s="100">
        <f t="shared" si="96"/>
        <v>958754.63048366515</v>
      </c>
      <c r="L106" s="100">
        <f t="shared" si="96"/>
        <v>604643.39138340973</v>
      </c>
      <c r="M106" s="100">
        <f t="shared" si="96"/>
        <v>604643.39138340973</v>
      </c>
      <c r="N106" s="100">
        <f t="shared" si="96"/>
        <v>604643.39138340973</v>
      </c>
      <c r="O106" s="100">
        <f t="shared" si="96"/>
        <v>604643.39138340973</v>
      </c>
      <c r="P106" s="100"/>
    </row>
    <row r="107" spans="1:21" ht="15" customHeight="1">
      <c r="A107" s="220"/>
      <c r="B107" s="209"/>
      <c r="C107" s="221"/>
      <c r="D107" s="112"/>
      <c r="E107" s="112"/>
      <c r="F107" s="112"/>
      <c r="G107" s="112"/>
      <c r="H107" s="112"/>
      <c r="I107" s="112"/>
      <c r="J107" s="112"/>
      <c r="K107" s="112"/>
      <c r="L107" s="112"/>
      <c r="M107" s="112"/>
      <c r="N107" s="112"/>
      <c r="O107" s="112"/>
      <c r="P107" s="112"/>
    </row>
    <row r="108" spans="1:21" ht="15" customHeight="1">
      <c r="B108" s="13" t="s">
        <v>156</v>
      </c>
      <c r="C108" s="31"/>
      <c r="D108" s="210">
        <v>5.8390000000000004E-3</v>
      </c>
      <c r="E108" s="31">
        <f>D108</f>
        <v>5.8390000000000004E-3</v>
      </c>
      <c r="F108" s="210">
        <v>4.3540000000000002E-3</v>
      </c>
      <c r="G108" s="31">
        <f>F108</f>
        <v>4.3540000000000002E-3</v>
      </c>
      <c r="H108" s="31">
        <f t="shared" ref="H108:O108" si="97">G108</f>
        <v>4.3540000000000002E-3</v>
      </c>
      <c r="I108" s="31">
        <f t="shared" si="97"/>
        <v>4.3540000000000002E-3</v>
      </c>
      <c r="J108" s="31">
        <f t="shared" si="97"/>
        <v>4.3540000000000002E-3</v>
      </c>
      <c r="K108" s="31">
        <f t="shared" si="97"/>
        <v>4.3540000000000002E-3</v>
      </c>
      <c r="L108" s="31">
        <f t="shared" si="97"/>
        <v>4.3540000000000002E-3</v>
      </c>
      <c r="M108" s="31">
        <f t="shared" si="97"/>
        <v>4.3540000000000002E-3</v>
      </c>
      <c r="N108" s="31">
        <f t="shared" si="97"/>
        <v>4.3540000000000002E-3</v>
      </c>
      <c r="O108" s="31">
        <f t="shared" si="97"/>
        <v>4.3540000000000002E-3</v>
      </c>
    </row>
  </sheetData>
  <mergeCells count="3">
    <mergeCell ref="A6:A7"/>
    <mergeCell ref="B101:B102"/>
    <mergeCell ref="C105:C106"/>
  </mergeCells>
  <phoneticPr fontId="175" type="noConversion"/>
  <printOptions horizontalCentered="1"/>
  <pageMargins left="0.7" right="0.55000000000000004" top="0.81" bottom="0.47" header="0.39" footer="0.3"/>
  <pageSetup scale="70" firstPageNumber="3" fitToHeight="2" orientation="portrait" useFirstPageNumber="1" r:id="rId1"/>
  <headerFooter scaleWithDoc="0">
    <oddHeader>&amp;C&amp;8Avista Corporation Fixed Cost Adjustment Mechanism
Idaho Jurisdiction
Quarterly Report for 1st Quarter 2022</oddHeader>
    <oddFooter>&amp;C&amp;F / &amp;A&amp;RPage &amp;P of 9</oddFooter>
  </headerFooter>
  <rowBreaks count="1" manualBreakCount="1">
    <brk id="5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01"/>
  <sheetViews>
    <sheetView zoomScaleNormal="100" workbookViewId="0">
      <selection activeCell="J105" sqref="J105"/>
    </sheetView>
  </sheetViews>
  <sheetFormatPr defaultColWidth="8.85546875" defaultRowHeight="15"/>
  <cols>
    <col min="1" max="1" width="5" style="31" customWidth="1"/>
    <col min="2" max="2" width="39" style="31" customWidth="1"/>
    <col min="3" max="3" width="18.42578125" style="31" customWidth="1"/>
    <col min="4" max="4" width="12.28515625" style="31" customWidth="1"/>
    <col min="5" max="5" width="13" style="31" customWidth="1"/>
    <col min="6" max="6" width="12.5703125" style="31" customWidth="1"/>
    <col min="7" max="13" width="10.28515625" style="31" bestFit="1" customWidth="1"/>
    <col min="14" max="15" width="9.28515625" style="31" customWidth="1"/>
    <col min="16" max="16" width="12.85546875" style="31" customWidth="1"/>
    <col min="17" max="17" width="12" style="31" customWidth="1"/>
    <col min="18" max="18" width="11.5703125" style="31" customWidth="1"/>
    <col min="19" max="19" width="11.42578125" style="31" customWidth="1"/>
    <col min="20" max="20" width="12.28515625" style="31" customWidth="1"/>
    <col min="21" max="16384" width="8.85546875" style="31"/>
  </cols>
  <sheetData>
    <row r="1" spans="1:20" ht="15.75">
      <c r="A1" s="65" t="s">
        <v>0</v>
      </c>
      <c r="B1" s="65"/>
      <c r="C1" s="65"/>
      <c r="D1" s="65"/>
      <c r="E1" s="65"/>
      <c r="F1" s="65"/>
      <c r="G1" s="65"/>
      <c r="H1" s="65"/>
      <c r="I1" s="65"/>
      <c r="J1" s="65"/>
      <c r="K1" s="65"/>
      <c r="L1" s="65"/>
      <c r="M1" s="65"/>
      <c r="N1" s="65"/>
      <c r="O1" s="65"/>
    </row>
    <row r="2" spans="1:20" ht="15.75">
      <c r="A2" s="65" t="s">
        <v>99</v>
      </c>
      <c r="B2" s="65"/>
      <c r="C2" s="65"/>
      <c r="D2" s="65"/>
      <c r="E2" s="65"/>
      <c r="F2" s="65"/>
      <c r="G2" s="65"/>
      <c r="H2" s="65"/>
      <c r="I2" s="65"/>
      <c r="J2" s="65"/>
      <c r="K2" s="65"/>
      <c r="L2" s="65"/>
      <c r="M2" s="65"/>
      <c r="N2" s="65"/>
      <c r="O2" s="65"/>
    </row>
    <row r="3" spans="1:20" ht="15.75">
      <c r="A3" s="66" t="s">
        <v>109</v>
      </c>
      <c r="B3" s="65"/>
      <c r="C3" s="65"/>
      <c r="D3" s="65"/>
      <c r="E3" s="65"/>
      <c r="F3" s="65"/>
      <c r="G3" s="65"/>
      <c r="H3" s="65"/>
      <c r="I3" s="65"/>
      <c r="J3" s="65"/>
      <c r="K3" s="65"/>
      <c r="L3" s="65"/>
      <c r="M3" s="65"/>
      <c r="N3" s="65"/>
      <c r="O3" s="65"/>
    </row>
    <row r="4" spans="1:20" ht="15.75">
      <c r="A4" s="65" t="s">
        <v>100</v>
      </c>
      <c r="B4" s="65"/>
      <c r="C4" s="65"/>
      <c r="D4" s="65"/>
      <c r="E4" s="65"/>
      <c r="F4" s="65"/>
      <c r="G4" s="65"/>
      <c r="H4" s="65"/>
      <c r="I4" s="65"/>
      <c r="J4" s="65"/>
      <c r="K4" s="65"/>
      <c r="L4" s="65"/>
      <c r="M4" s="65"/>
      <c r="N4" s="65"/>
      <c r="O4" s="65"/>
    </row>
    <row r="5" spans="1:20">
      <c r="A5" s="2" t="s">
        <v>110</v>
      </c>
      <c r="B5" s="51"/>
      <c r="C5" s="51"/>
      <c r="D5" s="69"/>
      <c r="E5" s="69"/>
      <c r="F5" s="69"/>
      <c r="G5" s="69"/>
      <c r="H5" s="69"/>
      <c r="I5" s="69"/>
      <c r="J5" s="69"/>
      <c r="K5" s="69"/>
      <c r="L5" s="69"/>
      <c r="M5" s="69"/>
      <c r="N5" s="69"/>
      <c r="O5" s="69"/>
    </row>
    <row r="6" spans="1:20" ht="28.9" customHeight="1">
      <c r="A6" s="13"/>
      <c r="B6" s="13"/>
      <c r="C6" s="13"/>
      <c r="D6" s="3" t="s">
        <v>69</v>
      </c>
      <c r="E6" s="3" t="s">
        <v>69</v>
      </c>
      <c r="F6" s="3"/>
      <c r="G6" s="3"/>
      <c r="H6" s="3"/>
      <c r="I6" s="3"/>
      <c r="J6" s="3"/>
      <c r="K6" s="3"/>
      <c r="L6" s="3"/>
      <c r="M6" s="3"/>
      <c r="N6" s="3"/>
      <c r="O6" s="3"/>
      <c r="P6" s="27" t="s">
        <v>67</v>
      </c>
      <c r="Q6" s="27" t="s">
        <v>64</v>
      </c>
      <c r="R6" s="27" t="s">
        <v>65</v>
      </c>
      <c r="S6" s="27" t="s">
        <v>66</v>
      </c>
      <c r="T6" s="26" t="s">
        <v>63</v>
      </c>
    </row>
    <row r="7" spans="1:20" ht="25.5">
      <c r="A7" s="52" t="s">
        <v>1</v>
      </c>
      <c r="B7" s="53"/>
      <c r="C7" s="50" t="s">
        <v>2</v>
      </c>
      <c r="D7" s="70">
        <v>42370</v>
      </c>
      <c r="E7" s="70">
        <f t="shared" ref="E7:O7" si="0">EDATE(D7,1)</f>
        <v>42401</v>
      </c>
      <c r="F7" s="70">
        <f t="shared" si="0"/>
        <v>42430</v>
      </c>
      <c r="G7" s="70">
        <f t="shared" si="0"/>
        <v>42461</v>
      </c>
      <c r="H7" s="70">
        <f t="shared" si="0"/>
        <v>42491</v>
      </c>
      <c r="I7" s="70">
        <f t="shared" si="0"/>
        <v>42522</v>
      </c>
      <c r="J7" s="70">
        <f t="shared" si="0"/>
        <v>42552</v>
      </c>
      <c r="K7" s="70">
        <f t="shared" si="0"/>
        <v>42583</v>
      </c>
      <c r="L7" s="70">
        <f t="shared" si="0"/>
        <v>42614</v>
      </c>
      <c r="M7" s="70">
        <f t="shared" si="0"/>
        <v>42644</v>
      </c>
      <c r="N7" s="70">
        <f t="shared" si="0"/>
        <v>42675</v>
      </c>
      <c r="O7" s="70">
        <f t="shared" si="0"/>
        <v>42705</v>
      </c>
      <c r="P7" s="54" t="s">
        <v>3</v>
      </c>
      <c r="Q7" s="10" t="s">
        <v>3</v>
      </c>
      <c r="R7" s="10" t="s">
        <v>3</v>
      </c>
      <c r="S7" s="10" t="s">
        <v>3</v>
      </c>
      <c r="T7" s="10" t="s">
        <v>3</v>
      </c>
    </row>
    <row r="8" spans="1:20">
      <c r="A8" s="28"/>
      <c r="B8" s="28" t="s">
        <v>4</v>
      </c>
      <c r="C8" s="28" t="s">
        <v>5</v>
      </c>
      <c r="D8" s="28" t="s">
        <v>6</v>
      </c>
      <c r="E8" s="28" t="s">
        <v>7</v>
      </c>
      <c r="F8" s="28" t="s">
        <v>8</v>
      </c>
      <c r="G8" s="28" t="s">
        <v>9</v>
      </c>
      <c r="H8" s="28" t="s">
        <v>10</v>
      </c>
      <c r="I8" s="28" t="s">
        <v>11</v>
      </c>
      <c r="J8" s="28" t="s">
        <v>12</v>
      </c>
      <c r="K8" s="28" t="s">
        <v>13</v>
      </c>
      <c r="L8" s="28" t="s">
        <v>14</v>
      </c>
      <c r="M8" s="28" t="s">
        <v>15</v>
      </c>
      <c r="N8" s="28" t="s">
        <v>16</v>
      </c>
      <c r="O8" s="28" t="s">
        <v>17</v>
      </c>
      <c r="P8" s="28" t="s">
        <v>18</v>
      </c>
      <c r="Q8" s="28" t="s">
        <v>105</v>
      </c>
      <c r="R8" s="28" t="s">
        <v>106</v>
      </c>
      <c r="S8" s="28" t="s">
        <v>107</v>
      </c>
      <c r="T8" s="28" t="s">
        <v>108</v>
      </c>
    </row>
    <row r="9" spans="1:20">
      <c r="A9" s="28"/>
      <c r="B9" s="1" t="s">
        <v>19</v>
      </c>
      <c r="C9" s="28"/>
      <c r="D9" s="3"/>
      <c r="E9" s="3"/>
      <c r="F9" s="3"/>
      <c r="G9" s="3"/>
      <c r="H9" s="3"/>
      <c r="I9" s="3"/>
      <c r="J9" s="3"/>
      <c r="K9" s="3"/>
      <c r="L9" s="3"/>
      <c r="M9" s="3"/>
      <c r="N9" s="3"/>
      <c r="O9" s="3"/>
    </row>
    <row r="10" spans="1:20">
      <c r="A10" s="28"/>
      <c r="B10" s="71"/>
      <c r="C10" s="28"/>
      <c r="D10" s="3"/>
      <c r="E10" s="3"/>
      <c r="F10" s="3"/>
      <c r="G10" s="3"/>
      <c r="H10" s="3"/>
      <c r="I10" s="3"/>
      <c r="J10" s="3"/>
      <c r="K10" s="3"/>
      <c r="L10" s="3"/>
      <c r="M10" s="3"/>
      <c r="N10" s="3"/>
      <c r="O10" s="3"/>
    </row>
    <row r="11" spans="1:20">
      <c r="A11" s="28">
        <v>1</v>
      </c>
      <c r="B11" s="13" t="s">
        <v>70</v>
      </c>
      <c r="C11" s="28" t="s">
        <v>71</v>
      </c>
      <c r="D11" s="101">
        <v>78021</v>
      </c>
      <c r="E11" s="101">
        <v>78174</v>
      </c>
      <c r="F11" s="101">
        <v>78273</v>
      </c>
      <c r="G11" s="101"/>
      <c r="H11" s="101"/>
      <c r="I11" s="101"/>
      <c r="J11" s="101"/>
      <c r="K11" s="101"/>
      <c r="L11" s="101"/>
      <c r="M11" s="101"/>
      <c r="N11" s="101"/>
      <c r="O11" s="102"/>
    </row>
    <row r="12" spans="1:20">
      <c r="A12" s="49">
        <v>2</v>
      </c>
      <c r="B12" s="13" t="s">
        <v>101</v>
      </c>
      <c r="C12" s="28" t="s">
        <v>71</v>
      </c>
      <c r="D12" s="101">
        <v>8841051</v>
      </c>
      <c r="E12" s="101">
        <v>6461869</v>
      </c>
      <c r="F12" s="101">
        <v>5909720</v>
      </c>
      <c r="G12" s="101"/>
      <c r="H12" s="101"/>
      <c r="I12" s="101"/>
      <c r="J12" s="101"/>
      <c r="K12" s="101"/>
      <c r="L12" s="101"/>
      <c r="M12" s="101"/>
      <c r="N12" s="101"/>
      <c r="O12" s="102"/>
    </row>
    <row r="13" spans="1:20">
      <c r="A13" s="28">
        <v>3</v>
      </c>
      <c r="B13" s="13" t="s">
        <v>73</v>
      </c>
      <c r="C13" s="28" t="s">
        <v>71</v>
      </c>
      <c r="D13" s="103">
        <v>4615976.3621499995</v>
      </c>
      <c r="E13" s="103">
        <v>3501267.3593100002</v>
      </c>
      <c r="F13" s="103">
        <v>3242491.5907600001</v>
      </c>
      <c r="G13" s="103"/>
      <c r="H13" s="103"/>
      <c r="I13" s="103"/>
      <c r="J13" s="103"/>
      <c r="K13" s="103"/>
      <c r="L13" s="103"/>
      <c r="M13" s="103"/>
      <c r="N13" s="103"/>
      <c r="O13" s="104"/>
    </row>
    <row r="14" spans="1:20">
      <c r="A14" s="49">
        <v>4</v>
      </c>
      <c r="B14" s="13" t="s">
        <v>74</v>
      </c>
      <c r="C14" s="28" t="s">
        <v>71</v>
      </c>
      <c r="D14" s="103">
        <v>373822.76</v>
      </c>
      <c r="E14" s="103">
        <v>412061.96</v>
      </c>
      <c r="F14" s="103">
        <v>412461.76</v>
      </c>
      <c r="G14" s="103"/>
      <c r="H14" s="103"/>
      <c r="I14" s="103"/>
      <c r="J14" s="103"/>
      <c r="K14" s="103"/>
      <c r="L14" s="103"/>
      <c r="M14" s="103"/>
      <c r="N14" s="103"/>
      <c r="O14" s="104"/>
    </row>
    <row r="15" spans="1:20">
      <c r="A15" s="28">
        <v>5</v>
      </c>
      <c r="B15" s="13"/>
      <c r="C15" s="28"/>
      <c r="D15" s="73"/>
      <c r="E15" s="73"/>
      <c r="F15" s="73"/>
      <c r="G15" s="73"/>
      <c r="H15" s="73"/>
      <c r="I15" s="73"/>
      <c r="J15" s="73"/>
      <c r="K15" s="73"/>
      <c r="L15" s="73"/>
      <c r="M15" s="73"/>
      <c r="N15" s="73"/>
      <c r="O15" s="73"/>
    </row>
    <row r="16" spans="1:20">
      <c r="A16" s="49">
        <v>6</v>
      </c>
      <c r="B16" s="71" t="s">
        <v>75</v>
      </c>
      <c r="C16" s="28"/>
      <c r="D16" s="73"/>
      <c r="E16" s="73"/>
      <c r="F16" s="73"/>
      <c r="G16" s="73"/>
      <c r="H16" s="73"/>
      <c r="I16" s="73"/>
      <c r="J16" s="73"/>
      <c r="K16" s="73"/>
      <c r="L16" s="73"/>
      <c r="M16" s="73"/>
      <c r="N16" s="73"/>
      <c r="O16" s="73"/>
    </row>
    <row r="17" spans="1:20">
      <c r="A17" s="28">
        <v>7</v>
      </c>
      <c r="B17" s="13" t="s">
        <v>76</v>
      </c>
      <c r="C17" s="28" t="str">
        <f>"("&amp;A11&amp;") - ("&amp;A32&amp;")"</f>
        <v>(1) - (22)</v>
      </c>
      <c r="D17" s="73">
        <f>D11-D32</f>
        <v>76205</v>
      </c>
      <c r="E17" s="73">
        <f t="shared" ref="E17:O17" si="1">E11-E32</f>
        <v>76196</v>
      </c>
      <c r="F17" s="73">
        <f t="shared" si="1"/>
        <v>76143</v>
      </c>
      <c r="G17" s="73">
        <f t="shared" si="1"/>
        <v>0</v>
      </c>
      <c r="H17" s="73">
        <f t="shared" si="1"/>
        <v>0</v>
      </c>
      <c r="I17" s="73">
        <f t="shared" si="1"/>
        <v>0</v>
      </c>
      <c r="J17" s="73">
        <f t="shared" si="1"/>
        <v>0</v>
      </c>
      <c r="K17" s="73">
        <f t="shared" si="1"/>
        <v>0</v>
      </c>
      <c r="L17" s="73">
        <f t="shared" si="1"/>
        <v>0</v>
      </c>
      <c r="M17" s="73">
        <f t="shared" si="1"/>
        <v>0</v>
      </c>
      <c r="N17" s="73">
        <f t="shared" si="1"/>
        <v>0</v>
      </c>
      <c r="O17" s="73">
        <f t="shared" si="1"/>
        <v>0</v>
      </c>
      <c r="P17" s="29">
        <f>SUM(D17:F17)</f>
        <v>228544</v>
      </c>
      <c r="Q17" s="29">
        <f>SUM(G17:I17)</f>
        <v>0</v>
      </c>
      <c r="R17" s="29">
        <f>SUM(J17:L17)</f>
        <v>0</v>
      </c>
      <c r="S17" s="29">
        <f>SUM(M17:O17)</f>
        <v>0</v>
      </c>
      <c r="T17" s="29">
        <f>SUM(D17:O17)</f>
        <v>228544</v>
      </c>
    </row>
    <row r="18" spans="1:20">
      <c r="A18" s="49">
        <v>8</v>
      </c>
      <c r="B18" s="68" t="s">
        <v>77</v>
      </c>
      <c r="C18" s="74" t="s">
        <v>78</v>
      </c>
      <c r="D18" s="75">
        <v>56.043384108173441</v>
      </c>
      <c r="E18" s="75">
        <v>48.88080197869796</v>
      </c>
      <c r="F18" s="75">
        <v>42.768047410731207</v>
      </c>
      <c r="G18" s="76">
        <v>24.656470729597984</v>
      </c>
      <c r="H18" s="76">
        <v>16.040244822617421</v>
      </c>
      <c r="I18" s="76">
        <v>10.180930180560864</v>
      </c>
      <c r="J18" s="76">
        <v>6.3513044409960004</v>
      </c>
      <c r="K18" s="76">
        <v>6.2428738271958206</v>
      </c>
      <c r="L18" s="76">
        <v>7.5621981018383329</v>
      </c>
      <c r="M18" s="76">
        <v>23.793055782682746</v>
      </c>
      <c r="N18" s="76">
        <v>47.786909699070137</v>
      </c>
      <c r="O18" s="76">
        <v>61.0637789178381</v>
      </c>
      <c r="P18" s="67">
        <f>P19/P17</f>
        <v>49.232511496812577</v>
      </c>
      <c r="Q18" s="67" t="e">
        <f>Q19/Q17</f>
        <v>#DIV/0!</v>
      </c>
      <c r="R18" s="67" t="e">
        <f>R19/R17</f>
        <v>#DIV/0!</v>
      </c>
      <c r="S18" s="67" t="e">
        <f>S19/S17</f>
        <v>#DIV/0!</v>
      </c>
      <c r="T18" s="67">
        <f>T19/T17</f>
        <v>49.232511496812577</v>
      </c>
    </row>
    <row r="19" spans="1:20">
      <c r="A19" s="28">
        <v>9</v>
      </c>
      <c r="B19" s="13" t="s">
        <v>79</v>
      </c>
      <c r="C19" s="28" t="str">
        <f>"("&amp;A17&amp;") x ("&amp;A18&amp;")"</f>
        <v>(7) x (8)</v>
      </c>
      <c r="D19" s="77">
        <f t="shared" ref="D19:O19" si="2">D17*D18</f>
        <v>4270786.0859633572</v>
      </c>
      <c r="E19" s="77">
        <f t="shared" si="2"/>
        <v>3724521.5875688698</v>
      </c>
      <c r="F19" s="77">
        <f t="shared" si="2"/>
        <v>3256487.433995306</v>
      </c>
      <c r="G19" s="77">
        <f t="shared" si="2"/>
        <v>0</v>
      </c>
      <c r="H19" s="77">
        <f t="shared" si="2"/>
        <v>0</v>
      </c>
      <c r="I19" s="77">
        <f t="shared" si="2"/>
        <v>0</v>
      </c>
      <c r="J19" s="77">
        <f t="shared" si="2"/>
        <v>0</v>
      </c>
      <c r="K19" s="77">
        <f t="shared" si="2"/>
        <v>0</v>
      </c>
      <c r="L19" s="77">
        <f t="shared" si="2"/>
        <v>0</v>
      </c>
      <c r="M19" s="77">
        <f t="shared" si="2"/>
        <v>0</v>
      </c>
      <c r="N19" s="77">
        <f t="shared" si="2"/>
        <v>0</v>
      </c>
      <c r="O19" s="77">
        <f t="shared" si="2"/>
        <v>0</v>
      </c>
      <c r="P19" s="30">
        <f>SUM(D19:F19)</f>
        <v>11251795.107527534</v>
      </c>
      <c r="Q19" s="30">
        <f>SUM(G19:I19)</f>
        <v>0</v>
      </c>
      <c r="R19" s="30">
        <f>SUM(J19:L19)</f>
        <v>0</v>
      </c>
      <c r="S19" s="30">
        <f>SUM(M19:O19)</f>
        <v>0</v>
      </c>
      <c r="T19" s="30">
        <f>SUM(D19:O19)</f>
        <v>11251795.107527534</v>
      </c>
    </row>
    <row r="20" spans="1:20">
      <c r="A20" s="49">
        <v>10</v>
      </c>
      <c r="B20" s="13"/>
      <c r="C20" s="28"/>
      <c r="D20" s="78"/>
      <c r="E20" s="78"/>
      <c r="F20" s="78"/>
      <c r="G20" s="78"/>
      <c r="H20" s="78"/>
      <c r="I20" s="78"/>
      <c r="J20" s="78"/>
      <c r="K20" s="78"/>
      <c r="L20" s="78"/>
      <c r="M20" s="78"/>
      <c r="N20" s="78"/>
      <c r="O20" s="78"/>
    </row>
    <row r="21" spans="1:20">
      <c r="A21" s="28">
        <v>11</v>
      </c>
      <c r="B21" s="13" t="s">
        <v>30</v>
      </c>
      <c r="C21" s="28" t="str">
        <f>"("&amp;A13&amp;") - ("&amp;A36&amp;")"</f>
        <v>(3) - (26)</v>
      </c>
      <c r="D21" s="77">
        <f>D13-D36</f>
        <v>4515206.7121499991</v>
      </c>
      <c r="E21" s="77">
        <f t="shared" ref="E21:O22" si="3">E13-E36</f>
        <v>3412777.4993100003</v>
      </c>
      <c r="F21" s="77">
        <f t="shared" si="3"/>
        <v>3163589.1207599998</v>
      </c>
      <c r="G21" s="77">
        <f t="shared" si="3"/>
        <v>0</v>
      </c>
      <c r="H21" s="77">
        <f t="shared" si="3"/>
        <v>0</v>
      </c>
      <c r="I21" s="77">
        <f t="shared" si="3"/>
        <v>0</v>
      </c>
      <c r="J21" s="77">
        <f t="shared" si="3"/>
        <v>0</v>
      </c>
      <c r="K21" s="77">
        <f t="shared" si="3"/>
        <v>0</v>
      </c>
      <c r="L21" s="77">
        <f t="shared" si="3"/>
        <v>0</v>
      </c>
      <c r="M21" s="77">
        <f t="shared" si="3"/>
        <v>0</v>
      </c>
      <c r="N21" s="77">
        <f t="shared" si="3"/>
        <v>0</v>
      </c>
      <c r="O21" s="77">
        <f t="shared" si="3"/>
        <v>0</v>
      </c>
    </row>
    <row r="22" spans="1:20">
      <c r="A22" s="49">
        <v>12</v>
      </c>
      <c r="B22" s="13" t="s">
        <v>20</v>
      </c>
      <c r="C22" s="28" t="str">
        <f>"("&amp;A14&amp;") - ("&amp;A37&amp;")"</f>
        <v>(4) - (27)</v>
      </c>
      <c r="D22" s="77">
        <f>D14-D37</f>
        <v>365035.97000000003</v>
      </c>
      <c r="E22" s="77">
        <f t="shared" si="3"/>
        <v>401915.65</v>
      </c>
      <c r="F22" s="77">
        <f t="shared" si="3"/>
        <v>401727.75</v>
      </c>
      <c r="G22" s="77">
        <f t="shared" si="3"/>
        <v>0</v>
      </c>
      <c r="H22" s="77">
        <f t="shared" si="3"/>
        <v>0</v>
      </c>
      <c r="I22" s="77">
        <f t="shared" si="3"/>
        <v>0</v>
      </c>
      <c r="J22" s="77">
        <f t="shared" si="3"/>
        <v>0</v>
      </c>
      <c r="K22" s="77">
        <f t="shared" si="3"/>
        <v>0</v>
      </c>
      <c r="L22" s="77">
        <f t="shared" si="3"/>
        <v>0</v>
      </c>
      <c r="M22" s="77">
        <f t="shared" si="3"/>
        <v>0</v>
      </c>
      <c r="N22" s="77">
        <f t="shared" si="3"/>
        <v>0</v>
      </c>
      <c r="O22" s="77">
        <f t="shared" si="3"/>
        <v>0</v>
      </c>
    </row>
    <row r="23" spans="1:20">
      <c r="A23" s="28">
        <v>13</v>
      </c>
      <c r="B23" s="2" t="s">
        <v>102</v>
      </c>
      <c r="C23" s="28" t="str">
        <f>"("&amp;A12&amp;") - ("&amp;A38&amp;")"</f>
        <v>(2) - (28)</v>
      </c>
      <c r="D23" s="73">
        <f>D12-D38</f>
        <v>8643785</v>
      </c>
      <c r="E23" s="73">
        <f t="shared" ref="E23:O23" si="4">E12-E38</f>
        <v>6297692</v>
      </c>
      <c r="F23" s="73">
        <f t="shared" si="4"/>
        <v>5766947</v>
      </c>
      <c r="G23" s="73">
        <f t="shared" si="4"/>
        <v>0</v>
      </c>
      <c r="H23" s="73">
        <f t="shared" si="4"/>
        <v>0</v>
      </c>
      <c r="I23" s="73">
        <f t="shared" si="4"/>
        <v>0</v>
      </c>
      <c r="J23" s="73">
        <f t="shared" si="4"/>
        <v>0</v>
      </c>
      <c r="K23" s="73">
        <f t="shared" si="4"/>
        <v>0</v>
      </c>
      <c r="L23" s="73">
        <f t="shared" si="4"/>
        <v>0</v>
      </c>
      <c r="M23" s="73">
        <f t="shared" si="4"/>
        <v>0</v>
      </c>
      <c r="N23" s="73">
        <f t="shared" si="4"/>
        <v>0</v>
      </c>
      <c r="O23" s="73">
        <f t="shared" si="4"/>
        <v>0</v>
      </c>
    </row>
    <row r="24" spans="1:20">
      <c r="A24" s="49">
        <v>14</v>
      </c>
      <c r="B24" s="13"/>
      <c r="C24" s="28"/>
      <c r="D24" s="79"/>
      <c r="E24" s="79"/>
      <c r="F24" s="79"/>
      <c r="G24" s="79"/>
      <c r="H24" s="79"/>
      <c r="I24" s="79"/>
      <c r="J24" s="79"/>
      <c r="K24" s="79"/>
      <c r="L24" s="79"/>
      <c r="M24" s="79"/>
      <c r="N24" s="79"/>
      <c r="O24" s="79"/>
    </row>
    <row r="25" spans="1:20">
      <c r="A25" s="28">
        <v>15</v>
      </c>
      <c r="B25" s="13"/>
      <c r="C25" s="28"/>
      <c r="D25" s="77"/>
      <c r="E25" s="77"/>
      <c r="F25" s="77"/>
      <c r="G25" s="77"/>
      <c r="H25" s="77"/>
      <c r="I25" s="77"/>
      <c r="J25" s="77"/>
      <c r="K25" s="77"/>
      <c r="L25" s="77"/>
      <c r="M25" s="77"/>
      <c r="N25" s="77"/>
      <c r="O25" s="77"/>
    </row>
    <row r="26" spans="1:20">
      <c r="A26" s="49">
        <v>16</v>
      </c>
      <c r="B26" s="13" t="s">
        <v>84</v>
      </c>
      <c r="C26" s="28" t="str">
        <f>"("&amp;A21&amp;") - ("&amp;A22&amp;") -("&amp;A25&amp;")"</f>
        <v>(11) - (12) -(15)</v>
      </c>
      <c r="D26" s="77">
        <f>D21-D22-D25</f>
        <v>4150170.7421499989</v>
      </c>
      <c r="E26" s="77">
        <f t="shared" ref="E26:O26" si="5">E21-E22-E25</f>
        <v>3010861.8493100004</v>
      </c>
      <c r="F26" s="77">
        <f t="shared" si="5"/>
        <v>2761861.3707599998</v>
      </c>
      <c r="G26" s="77">
        <f t="shared" si="5"/>
        <v>0</v>
      </c>
      <c r="H26" s="77">
        <f t="shared" si="5"/>
        <v>0</v>
      </c>
      <c r="I26" s="77">
        <f t="shared" si="5"/>
        <v>0</v>
      </c>
      <c r="J26" s="77">
        <f t="shared" si="5"/>
        <v>0</v>
      </c>
      <c r="K26" s="77">
        <f t="shared" si="5"/>
        <v>0</v>
      </c>
      <c r="L26" s="77">
        <f t="shared" si="5"/>
        <v>0</v>
      </c>
      <c r="M26" s="77">
        <f t="shared" si="5"/>
        <v>0</v>
      </c>
      <c r="N26" s="77">
        <f t="shared" si="5"/>
        <v>0</v>
      </c>
      <c r="O26" s="77">
        <f t="shared" si="5"/>
        <v>0</v>
      </c>
      <c r="P26" s="30">
        <f>SUM(D26:F26)</f>
        <v>9922893.9622199982</v>
      </c>
      <c r="Q26" s="30">
        <f>SUM(G26:I26)</f>
        <v>0</v>
      </c>
      <c r="R26" s="30">
        <f>SUM(J26:L26)</f>
        <v>0</v>
      </c>
      <c r="S26" s="30">
        <f>SUM(M26:O26)</f>
        <v>0</v>
      </c>
      <c r="T26" s="30">
        <f>SUM(D26:O26)</f>
        <v>9922893.9622199982</v>
      </c>
    </row>
    <row r="27" spans="1:20">
      <c r="A27" s="28">
        <v>17</v>
      </c>
      <c r="B27" s="3" t="s">
        <v>21</v>
      </c>
      <c r="C27" s="28"/>
      <c r="D27" s="80">
        <f t="shared" ref="D27:O27" si="6">D26/D17</f>
        <v>54.460609437044802</v>
      </c>
      <c r="E27" s="80">
        <f t="shared" si="6"/>
        <v>39.514696956664395</v>
      </c>
      <c r="F27" s="80">
        <f t="shared" si="6"/>
        <v>36.272032501477483</v>
      </c>
      <c r="G27" s="80" t="e">
        <f t="shared" si="6"/>
        <v>#DIV/0!</v>
      </c>
      <c r="H27" s="80" t="e">
        <f t="shared" si="6"/>
        <v>#DIV/0!</v>
      </c>
      <c r="I27" s="80" t="e">
        <f t="shared" si="6"/>
        <v>#DIV/0!</v>
      </c>
      <c r="J27" s="80" t="e">
        <f t="shared" si="6"/>
        <v>#DIV/0!</v>
      </c>
      <c r="K27" s="80" t="e">
        <f t="shared" si="6"/>
        <v>#DIV/0!</v>
      </c>
      <c r="L27" s="80" t="e">
        <f t="shared" si="6"/>
        <v>#DIV/0!</v>
      </c>
      <c r="M27" s="80" t="e">
        <f t="shared" si="6"/>
        <v>#DIV/0!</v>
      </c>
      <c r="N27" s="80" t="e">
        <f t="shared" si="6"/>
        <v>#DIV/0!</v>
      </c>
      <c r="O27" s="80" t="e">
        <f t="shared" si="6"/>
        <v>#DIV/0!</v>
      </c>
      <c r="P27" s="67">
        <f>P26/P17</f>
        <v>43.417871229260001</v>
      </c>
      <c r="Q27" s="67" t="e">
        <f t="shared" ref="Q27:T27" si="7">Q26/Q17</f>
        <v>#DIV/0!</v>
      </c>
      <c r="R27" s="67" t="e">
        <f t="shared" si="7"/>
        <v>#DIV/0!</v>
      </c>
      <c r="S27" s="67" t="e">
        <f t="shared" si="7"/>
        <v>#DIV/0!</v>
      </c>
      <c r="T27" s="67">
        <f t="shared" si="7"/>
        <v>43.417871229260001</v>
      </c>
    </row>
    <row r="28" spans="1:20">
      <c r="A28" s="49">
        <v>18</v>
      </c>
      <c r="B28" s="13" t="s">
        <v>85</v>
      </c>
      <c r="C28" s="28" t="str">
        <f>"("&amp;A$19&amp;") - ("&amp;A26&amp;")"</f>
        <v>(9) - (16)</v>
      </c>
      <c r="D28" s="77">
        <f t="shared" ref="D28:O28" si="8">D19-D26</f>
        <v>120615.34381335834</v>
      </c>
      <c r="E28" s="77">
        <f t="shared" si="8"/>
        <v>713659.73825886939</v>
      </c>
      <c r="F28" s="77">
        <f t="shared" si="8"/>
        <v>494626.06323530618</v>
      </c>
      <c r="G28" s="77">
        <f t="shared" si="8"/>
        <v>0</v>
      </c>
      <c r="H28" s="77">
        <f t="shared" si="8"/>
        <v>0</v>
      </c>
      <c r="I28" s="77">
        <f t="shared" si="8"/>
        <v>0</v>
      </c>
      <c r="J28" s="77">
        <f t="shared" si="8"/>
        <v>0</v>
      </c>
      <c r="K28" s="77">
        <f t="shared" si="8"/>
        <v>0</v>
      </c>
      <c r="L28" s="77">
        <f t="shared" si="8"/>
        <v>0</v>
      </c>
      <c r="M28" s="77">
        <f t="shared" si="8"/>
        <v>0</v>
      </c>
      <c r="N28" s="77">
        <f t="shared" si="8"/>
        <v>0</v>
      </c>
      <c r="O28" s="77">
        <f t="shared" si="8"/>
        <v>0</v>
      </c>
      <c r="P28" s="30">
        <f>SUM(D28:F28)</f>
        <v>1328901.1453075339</v>
      </c>
      <c r="Q28" s="30">
        <f>SUM(G28:I28)</f>
        <v>0</v>
      </c>
      <c r="R28" s="30">
        <f>SUM(J28:L28)</f>
        <v>0</v>
      </c>
      <c r="S28" s="30">
        <f>SUM(M28:O28)</f>
        <v>0</v>
      </c>
      <c r="T28" s="30">
        <f>SUM(D28:O28)</f>
        <v>1328901.1453075339</v>
      </c>
    </row>
    <row r="29" spans="1:20">
      <c r="A29" s="28">
        <v>19</v>
      </c>
      <c r="B29" s="13"/>
      <c r="C29" s="28"/>
      <c r="D29" s="77"/>
      <c r="E29" s="77"/>
      <c r="F29" s="77"/>
      <c r="G29" s="77"/>
      <c r="H29" s="77"/>
      <c r="I29" s="77"/>
      <c r="J29" s="77"/>
      <c r="K29" s="77"/>
      <c r="L29" s="77"/>
      <c r="M29" s="77"/>
      <c r="N29" s="77"/>
      <c r="O29" s="77"/>
    </row>
    <row r="30" spans="1:20">
      <c r="A30" s="49">
        <v>20</v>
      </c>
      <c r="B30" s="13"/>
      <c r="C30" s="28"/>
      <c r="D30" s="77"/>
      <c r="E30" s="77"/>
      <c r="F30" s="77"/>
      <c r="G30" s="77"/>
      <c r="H30" s="77"/>
      <c r="I30" s="77"/>
      <c r="J30" s="77"/>
      <c r="K30" s="77"/>
      <c r="L30" s="77"/>
      <c r="M30" s="77"/>
      <c r="N30" s="77"/>
      <c r="O30" s="77"/>
    </row>
    <row r="31" spans="1:20">
      <c r="A31" s="28">
        <v>21</v>
      </c>
      <c r="B31" s="71" t="s">
        <v>86</v>
      </c>
      <c r="C31" s="28"/>
      <c r="D31" s="77"/>
      <c r="E31" s="77"/>
      <c r="F31" s="77"/>
      <c r="G31" s="77"/>
      <c r="H31" s="77"/>
      <c r="I31" s="77"/>
      <c r="J31" s="77"/>
      <c r="K31" s="77"/>
      <c r="L31" s="77"/>
      <c r="M31" s="77"/>
      <c r="N31" s="77"/>
      <c r="O31" s="77"/>
    </row>
    <row r="32" spans="1:20">
      <c r="A32" s="49">
        <v>22</v>
      </c>
      <c r="B32" s="13" t="s">
        <v>87</v>
      </c>
      <c r="C32" s="28" t="s">
        <v>71</v>
      </c>
      <c r="D32" s="101">
        <v>1816</v>
      </c>
      <c r="E32" s="101">
        <v>1978</v>
      </c>
      <c r="F32" s="101">
        <v>2130</v>
      </c>
      <c r="G32" s="101"/>
      <c r="H32" s="101"/>
      <c r="I32" s="101"/>
      <c r="J32" s="101"/>
      <c r="K32" s="101"/>
      <c r="L32" s="101"/>
      <c r="M32" s="101"/>
      <c r="N32" s="101"/>
      <c r="O32" s="101"/>
      <c r="P32" s="29">
        <f>SUM(D32:F32)</f>
        <v>5924</v>
      </c>
      <c r="Q32" s="29">
        <f>SUM(G32:I32)</f>
        <v>0</v>
      </c>
      <c r="R32" s="29">
        <f>SUM(J32:L32)</f>
        <v>0</v>
      </c>
      <c r="S32" s="29">
        <f>SUM(M32:O32)</f>
        <v>0</v>
      </c>
      <c r="T32" s="29">
        <f>SUM(D32:O32)</f>
        <v>5924</v>
      </c>
    </row>
    <row r="33" spans="1:20">
      <c r="A33" s="28">
        <v>23</v>
      </c>
      <c r="B33" s="68" t="s">
        <v>77</v>
      </c>
      <c r="C33" s="74" t="s">
        <v>78</v>
      </c>
      <c r="D33" s="75">
        <v>52.794376696375359</v>
      </c>
      <c r="E33" s="75">
        <v>46.047031490875781</v>
      </c>
      <c r="F33" s="75">
        <v>40.288652113020547</v>
      </c>
      <c r="G33" s="75">
        <v>23.227059258038341</v>
      </c>
      <c r="H33" s="75">
        <v>15.110342477406626</v>
      </c>
      <c r="I33" s="75">
        <v>9.5907103331691559</v>
      </c>
      <c r="J33" s="75">
        <v>5.9830997807714832</v>
      </c>
      <c r="K33" s="75">
        <v>5.8809552232740883</v>
      </c>
      <c r="L33" s="75">
        <v>7.1237942104006837</v>
      </c>
      <c r="M33" s="75">
        <v>22.413699132162645</v>
      </c>
      <c r="N33" s="75">
        <v>45.016555512400643</v>
      </c>
      <c r="O33" s="75">
        <v>57.523723772104645</v>
      </c>
      <c r="P33" s="67">
        <f>P34/P32</f>
        <v>46.044977273852751</v>
      </c>
      <c r="Q33" s="67" t="e">
        <f>Q34/Q32</f>
        <v>#DIV/0!</v>
      </c>
      <c r="R33" s="67" t="e">
        <f>R34/R32</f>
        <v>#DIV/0!</v>
      </c>
      <c r="S33" s="67" t="e">
        <f>S34/S32</f>
        <v>#DIV/0!</v>
      </c>
      <c r="T33" s="67">
        <f>T34/T32</f>
        <v>46.044977273852751</v>
      </c>
    </row>
    <row r="34" spans="1:20">
      <c r="A34" s="49">
        <v>24</v>
      </c>
      <c r="B34" s="13" t="s">
        <v>79</v>
      </c>
      <c r="C34" s="28" t="str">
        <f>"("&amp;A32&amp;") x ("&amp;A33&amp;")"</f>
        <v>(22) x (23)</v>
      </c>
      <c r="D34" s="77">
        <f t="shared" ref="D34:O34" si="9">D32*D33</f>
        <v>95874.588080617657</v>
      </c>
      <c r="E34" s="77">
        <f t="shared" si="9"/>
        <v>91081.028288952293</v>
      </c>
      <c r="F34" s="77">
        <f t="shared" si="9"/>
        <v>85814.829000733764</v>
      </c>
      <c r="G34" s="77">
        <f t="shared" si="9"/>
        <v>0</v>
      </c>
      <c r="H34" s="77">
        <f t="shared" si="9"/>
        <v>0</v>
      </c>
      <c r="I34" s="77">
        <f t="shared" si="9"/>
        <v>0</v>
      </c>
      <c r="J34" s="77">
        <f t="shared" si="9"/>
        <v>0</v>
      </c>
      <c r="K34" s="77">
        <f t="shared" si="9"/>
        <v>0</v>
      </c>
      <c r="L34" s="77">
        <f t="shared" si="9"/>
        <v>0</v>
      </c>
      <c r="M34" s="77">
        <f t="shared" si="9"/>
        <v>0</v>
      </c>
      <c r="N34" s="77">
        <f t="shared" si="9"/>
        <v>0</v>
      </c>
      <c r="O34" s="77">
        <f t="shared" si="9"/>
        <v>0</v>
      </c>
      <c r="P34" s="30">
        <f>SUM(D34:F34)</f>
        <v>272770.4453703037</v>
      </c>
      <c r="Q34" s="30">
        <f>SUM(G34:I34)</f>
        <v>0</v>
      </c>
      <c r="R34" s="30">
        <f>SUM(J34:L34)</f>
        <v>0</v>
      </c>
      <c r="S34" s="30">
        <f>SUM(M34:O34)</f>
        <v>0</v>
      </c>
      <c r="T34" s="30">
        <f>SUM(D34:O34)</f>
        <v>272770.4453703037</v>
      </c>
    </row>
    <row r="35" spans="1:20">
      <c r="A35" s="28">
        <v>25</v>
      </c>
      <c r="B35" s="13"/>
      <c r="C35" s="28"/>
      <c r="D35" s="78"/>
      <c r="E35" s="78"/>
      <c r="F35" s="78"/>
      <c r="G35" s="78"/>
      <c r="H35" s="78"/>
      <c r="I35" s="78"/>
      <c r="J35" s="78"/>
      <c r="K35" s="78"/>
      <c r="L35" s="78"/>
      <c r="M35" s="78"/>
      <c r="N35" s="78"/>
      <c r="O35" s="78"/>
    </row>
    <row r="36" spans="1:20">
      <c r="A36" s="49">
        <v>26</v>
      </c>
      <c r="B36" s="13" t="s">
        <v>30</v>
      </c>
      <c r="C36" s="28" t="s">
        <v>71</v>
      </c>
      <c r="D36" s="103">
        <v>100769.65</v>
      </c>
      <c r="E36" s="103">
        <v>88489.86</v>
      </c>
      <c r="F36" s="103">
        <v>78902.47</v>
      </c>
      <c r="G36" s="103"/>
      <c r="H36" s="103"/>
      <c r="I36" s="103"/>
      <c r="J36" s="103"/>
      <c r="K36" s="103"/>
      <c r="L36" s="103"/>
      <c r="M36" s="103"/>
      <c r="N36" s="103"/>
      <c r="O36" s="103"/>
    </row>
    <row r="37" spans="1:20">
      <c r="A37" s="28">
        <v>27</v>
      </c>
      <c r="B37" s="13" t="s">
        <v>20</v>
      </c>
      <c r="C37" s="28" t="s">
        <v>71</v>
      </c>
      <c r="D37" s="103">
        <v>8786.7900000000009</v>
      </c>
      <c r="E37" s="103">
        <v>10146.31</v>
      </c>
      <c r="F37" s="103">
        <v>10734.01</v>
      </c>
      <c r="G37" s="103"/>
      <c r="H37" s="103"/>
      <c r="I37" s="103"/>
      <c r="J37" s="103"/>
      <c r="K37" s="103"/>
      <c r="L37" s="103"/>
      <c r="M37" s="103"/>
      <c r="N37" s="103"/>
      <c r="O37" s="103"/>
    </row>
    <row r="38" spans="1:20">
      <c r="A38" s="49">
        <v>28</v>
      </c>
      <c r="B38" s="2" t="s">
        <v>102</v>
      </c>
      <c r="C38" s="28" t="s">
        <v>71</v>
      </c>
      <c r="D38" s="101">
        <v>197266</v>
      </c>
      <c r="E38" s="101">
        <v>164177</v>
      </c>
      <c r="F38" s="101">
        <v>142773</v>
      </c>
      <c r="G38" s="101"/>
      <c r="H38" s="101"/>
      <c r="I38" s="101"/>
      <c r="J38" s="101"/>
      <c r="K38" s="101"/>
      <c r="L38" s="101"/>
      <c r="M38" s="101"/>
      <c r="N38" s="101"/>
      <c r="O38" s="101"/>
    </row>
    <row r="39" spans="1:20">
      <c r="A39" s="28">
        <v>29</v>
      </c>
      <c r="B39" s="13"/>
      <c r="C39" s="28"/>
      <c r="D39" s="79"/>
      <c r="E39" s="79"/>
      <c r="F39" s="79"/>
      <c r="G39" s="79"/>
      <c r="H39" s="79"/>
      <c r="I39" s="79"/>
      <c r="J39" s="79"/>
      <c r="K39" s="79"/>
      <c r="L39" s="79"/>
      <c r="M39" s="79"/>
      <c r="N39" s="79"/>
      <c r="O39" s="79"/>
    </row>
    <row r="40" spans="1:20">
      <c r="A40" s="49">
        <v>30</v>
      </c>
      <c r="B40" s="13"/>
      <c r="C40" s="28"/>
      <c r="D40" s="77"/>
      <c r="E40" s="77"/>
      <c r="F40" s="77"/>
      <c r="G40" s="77"/>
      <c r="H40" s="77"/>
      <c r="I40" s="77"/>
      <c r="J40" s="77"/>
      <c r="K40" s="77"/>
      <c r="L40" s="77"/>
      <c r="M40" s="77"/>
      <c r="N40" s="77"/>
      <c r="O40" s="77"/>
    </row>
    <row r="41" spans="1:20">
      <c r="A41" s="28">
        <v>31</v>
      </c>
      <c r="B41" s="81" t="s">
        <v>103</v>
      </c>
      <c r="C41" s="28" t="s">
        <v>89</v>
      </c>
      <c r="D41" s="79">
        <v>2.7688999999999998E-2</v>
      </c>
      <c r="E41" s="79">
        <f>D41</f>
        <v>2.7688999999999998E-2</v>
      </c>
      <c r="F41" s="79">
        <f t="shared" ref="F41:O41" si="10">E41</f>
        <v>2.7688999999999998E-2</v>
      </c>
      <c r="G41" s="79">
        <f t="shared" si="10"/>
        <v>2.7688999999999998E-2</v>
      </c>
      <c r="H41" s="79">
        <f t="shared" si="10"/>
        <v>2.7688999999999998E-2</v>
      </c>
      <c r="I41" s="79">
        <f t="shared" si="10"/>
        <v>2.7688999999999998E-2</v>
      </c>
      <c r="J41" s="79">
        <f t="shared" si="10"/>
        <v>2.7688999999999998E-2</v>
      </c>
      <c r="K41" s="79">
        <f t="shared" si="10"/>
        <v>2.7688999999999998E-2</v>
      </c>
      <c r="L41" s="79">
        <f t="shared" si="10"/>
        <v>2.7688999999999998E-2</v>
      </c>
      <c r="M41" s="79">
        <f t="shared" si="10"/>
        <v>2.7688999999999998E-2</v>
      </c>
      <c r="N41" s="79">
        <f t="shared" si="10"/>
        <v>2.7688999999999998E-2</v>
      </c>
      <c r="O41" s="79">
        <f t="shared" si="10"/>
        <v>2.7688999999999998E-2</v>
      </c>
    </row>
    <row r="42" spans="1:20">
      <c r="A42" s="49">
        <v>32</v>
      </c>
      <c r="B42" s="81" t="s">
        <v>104</v>
      </c>
      <c r="C42" s="28" t="str">
        <f>"("&amp;A40&amp;") x ("&amp;A41&amp;")"</f>
        <v>(30) x (31)</v>
      </c>
      <c r="D42" s="77">
        <f>D38*D41</f>
        <v>5462.0982739999999</v>
      </c>
      <c r="E42" s="77">
        <f t="shared" ref="E42:O42" si="11">E38*E41</f>
        <v>4545.8969529999995</v>
      </c>
      <c r="F42" s="77">
        <f t="shared" si="11"/>
        <v>3953.2415969999997</v>
      </c>
      <c r="G42" s="77">
        <f t="shared" si="11"/>
        <v>0</v>
      </c>
      <c r="H42" s="77">
        <f t="shared" si="11"/>
        <v>0</v>
      </c>
      <c r="I42" s="77">
        <f t="shared" si="11"/>
        <v>0</v>
      </c>
      <c r="J42" s="77">
        <f t="shared" si="11"/>
        <v>0</v>
      </c>
      <c r="K42" s="77">
        <f t="shared" si="11"/>
        <v>0</v>
      </c>
      <c r="L42" s="77">
        <f t="shared" si="11"/>
        <v>0</v>
      </c>
      <c r="M42" s="77">
        <f t="shared" si="11"/>
        <v>0</v>
      </c>
      <c r="N42" s="77">
        <f t="shared" si="11"/>
        <v>0</v>
      </c>
      <c r="O42" s="77">
        <f t="shared" si="11"/>
        <v>0</v>
      </c>
    </row>
    <row r="43" spans="1:20">
      <c r="A43" s="28">
        <v>33</v>
      </c>
      <c r="B43" s="13" t="s">
        <v>84</v>
      </c>
      <c r="C43" s="28" t="str">
        <f>"("&amp;A36&amp;") - ("&amp;A37&amp;") - ("&amp;A40&amp;") - ("&amp;A42&amp;")"</f>
        <v>(26) - (27) - (30) - (32)</v>
      </c>
      <c r="D43" s="77">
        <f>D36-D37-D40-D42</f>
        <v>86520.761725999982</v>
      </c>
      <c r="E43" s="77">
        <f t="shared" ref="E43:O43" si="12">E36-E37-E40-E42</f>
        <v>73797.653047</v>
      </c>
      <c r="F43" s="77">
        <f t="shared" si="12"/>
        <v>64215.218403000006</v>
      </c>
      <c r="G43" s="77">
        <f t="shared" si="12"/>
        <v>0</v>
      </c>
      <c r="H43" s="77">
        <f t="shared" si="12"/>
        <v>0</v>
      </c>
      <c r="I43" s="77">
        <f t="shared" si="12"/>
        <v>0</v>
      </c>
      <c r="J43" s="77">
        <f t="shared" si="12"/>
        <v>0</v>
      </c>
      <c r="K43" s="77">
        <f t="shared" si="12"/>
        <v>0</v>
      </c>
      <c r="L43" s="77">
        <f t="shared" si="12"/>
        <v>0</v>
      </c>
      <c r="M43" s="77">
        <f t="shared" si="12"/>
        <v>0</v>
      </c>
      <c r="N43" s="77">
        <f t="shared" si="12"/>
        <v>0</v>
      </c>
      <c r="O43" s="77">
        <f t="shared" si="12"/>
        <v>0</v>
      </c>
      <c r="P43" s="30">
        <f>SUM(D43:F43)</f>
        <v>224533.633176</v>
      </c>
      <c r="Q43" s="30">
        <f>SUM(G43:I43)</f>
        <v>0</v>
      </c>
      <c r="R43" s="30">
        <f>SUM(J43:L43)</f>
        <v>0</v>
      </c>
      <c r="S43" s="30">
        <f>SUM(M43:O43)</f>
        <v>0</v>
      </c>
      <c r="T43" s="30">
        <f>SUM(D43:O43)</f>
        <v>224533.633176</v>
      </c>
    </row>
    <row r="44" spans="1:20">
      <c r="A44" s="49">
        <v>34</v>
      </c>
      <c r="B44" s="3" t="s">
        <v>21</v>
      </c>
      <c r="C44" s="28"/>
      <c r="D44" s="80">
        <f t="shared" ref="D44:O44" si="13">D43/D32</f>
        <v>47.643591258810567</v>
      </c>
      <c r="E44" s="80">
        <f t="shared" si="13"/>
        <v>37.309228031850353</v>
      </c>
      <c r="F44" s="80">
        <f t="shared" si="13"/>
        <v>30.147989860563385</v>
      </c>
      <c r="G44" s="80" t="e">
        <f t="shared" si="13"/>
        <v>#DIV/0!</v>
      </c>
      <c r="H44" s="80" t="e">
        <f t="shared" si="13"/>
        <v>#DIV/0!</v>
      </c>
      <c r="I44" s="80" t="e">
        <f t="shared" si="13"/>
        <v>#DIV/0!</v>
      </c>
      <c r="J44" s="80" t="e">
        <f t="shared" si="13"/>
        <v>#DIV/0!</v>
      </c>
      <c r="K44" s="80" t="e">
        <f t="shared" si="13"/>
        <v>#DIV/0!</v>
      </c>
      <c r="L44" s="80" t="e">
        <f t="shared" si="13"/>
        <v>#DIV/0!</v>
      </c>
      <c r="M44" s="80" t="e">
        <f t="shared" si="13"/>
        <v>#DIV/0!</v>
      </c>
      <c r="N44" s="80" t="e">
        <f t="shared" si="13"/>
        <v>#DIV/0!</v>
      </c>
      <c r="O44" s="80" t="e">
        <f t="shared" si="13"/>
        <v>#DIV/0!</v>
      </c>
      <c r="P44" s="67">
        <f>P43/P32</f>
        <v>37.902368868332211</v>
      </c>
      <c r="Q44" s="67" t="e">
        <f t="shared" ref="Q44:T44" si="14">Q43/Q32</f>
        <v>#DIV/0!</v>
      </c>
      <c r="R44" s="67" t="e">
        <f t="shared" si="14"/>
        <v>#DIV/0!</v>
      </c>
      <c r="S44" s="67" t="e">
        <f t="shared" si="14"/>
        <v>#DIV/0!</v>
      </c>
      <c r="T44" s="67">
        <f t="shared" si="14"/>
        <v>37.902368868332211</v>
      </c>
    </row>
    <row r="45" spans="1:20">
      <c r="A45" s="28">
        <v>35</v>
      </c>
      <c r="B45" s="13" t="s">
        <v>91</v>
      </c>
      <c r="C45" s="28" t="str">
        <f>"("&amp;A$19&amp;") - ("&amp;A43&amp;")"</f>
        <v>(9) - (33)</v>
      </c>
      <c r="D45" s="77">
        <f t="shared" ref="D45:O45" si="15">D34-D43</f>
        <v>9353.826354617675</v>
      </c>
      <c r="E45" s="77">
        <f t="shared" si="15"/>
        <v>17283.375241952293</v>
      </c>
      <c r="F45" s="77">
        <f t="shared" si="15"/>
        <v>21599.610597733757</v>
      </c>
      <c r="G45" s="77">
        <f t="shared" si="15"/>
        <v>0</v>
      </c>
      <c r="H45" s="77">
        <f t="shared" si="15"/>
        <v>0</v>
      </c>
      <c r="I45" s="77">
        <f t="shared" si="15"/>
        <v>0</v>
      </c>
      <c r="J45" s="77">
        <f t="shared" si="15"/>
        <v>0</v>
      </c>
      <c r="K45" s="77">
        <f t="shared" si="15"/>
        <v>0</v>
      </c>
      <c r="L45" s="77">
        <f t="shared" si="15"/>
        <v>0</v>
      </c>
      <c r="M45" s="77">
        <f t="shared" si="15"/>
        <v>0</v>
      </c>
      <c r="N45" s="77">
        <f t="shared" si="15"/>
        <v>0</v>
      </c>
      <c r="O45" s="77">
        <f t="shared" si="15"/>
        <v>0</v>
      </c>
      <c r="P45" s="30">
        <f>SUM(D45:F45)</f>
        <v>48236.812194303726</v>
      </c>
      <c r="Q45" s="30">
        <f>SUM(G45:I45)</f>
        <v>0</v>
      </c>
      <c r="R45" s="30">
        <f>SUM(J45:L45)</f>
        <v>0</v>
      </c>
      <c r="S45" s="30">
        <f>SUM(M45:O45)</f>
        <v>0</v>
      </c>
      <c r="T45" s="30">
        <f>SUM(D45:O45)</f>
        <v>48236.812194303726</v>
      </c>
    </row>
    <row r="46" spans="1:20">
      <c r="A46" s="49">
        <v>36</v>
      </c>
      <c r="B46" s="13"/>
      <c r="C46" s="28"/>
      <c r="D46" s="77"/>
      <c r="E46" s="77"/>
      <c r="F46" s="77"/>
      <c r="G46" s="77"/>
      <c r="H46" s="77"/>
      <c r="I46" s="77"/>
      <c r="J46" s="77"/>
      <c r="K46" s="77"/>
      <c r="L46" s="77"/>
      <c r="M46" s="77"/>
      <c r="N46" s="77"/>
      <c r="O46" s="77"/>
    </row>
    <row r="47" spans="1:20">
      <c r="A47" s="82">
        <v>37</v>
      </c>
      <c r="B47" s="83" t="s">
        <v>92</v>
      </c>
      <c r="C47" s="82" t="str">
        <f>"("&amp;A$28&amp;") + ("&amp;A45&amp;")"</f>
        <v>(18) + (35)</v>
      </c>
      <c r="D47" s="84">
        <f>D28+D45</f>
        <v>129969.17016797602</v>
      </c>
      <c r="E47" s="84">
        <f>E28+E45</f>
        <v>730943.11350082164</v>
      </c>
      <c r="F47" s="84">
        <f t="shared" ref="F47:O47" si="16">F28+F45</f>
        <v>516225.67383303994</v>
      </c>
      <c r="G47" s="84">
        <f t="shared" si="16"/>
        <v>0</v>
      </c>
      <c r="H47" s="84">
        <f t="shared" si="16"/>
        <v>0</v>
      </c>
      <c r="I47" s="84">
        <f t="shared" si="16"/>
        <v>0</v>
      </c>
      <c r="J47" s="84">
        <f t="shared" si="16"/>
        <v>0</v>
      </c>
      <c r="K47" s="84">
        <f t="shared" si="16"/>
        <v>0</v>
      </c>
      <c r="L47" s="84">
        <f t="shared" si="16"/>
        <v>0</v>
      </c>
      <c r="M47" s="84">
        <f t="shared" si="16"/>
        <v>0</v>
      </c>
      <c r="N47" s="84">
        <f t="shared" si="16"/>
        <v>0</v>
      </c>
      <c r="O47" s="84">
        <f t="shared" si="16"/>
        <v>0</v>
      </c>
      <c r="P47" s="84">
        <f>SUM(D47:F47)</f>
        <v>1377137.9575018375</v>
      </c>
      <c r="Q47" s="84">
        <f>SUM(G47:I47)</f>
        <v>0</v>
      </c>
      <c r="R47" s="84">
        <f>SUM(J47:L47)</f>
        <v>0</v>
      </c>
      <c r="S47" s="84">
        <f>SUM(M47:O47)</f>
        <v>0</v>
      </c>
      <c r="T47" s="84">
        <f>SUM(D47:O47)</f>
        <v>1377137.9575018375</v>
      </c>
    </row>
    <row r="48" spans="1:20">
      <c r="A48" s="85">
        <v>38</v>
      </c>
      <c r="B48" s="83" t="s">
        <v>22</v>
      </c>
      <c r="C48" s="86" t="s">
        <v>23</v>
      </c>
      <c r="D48" s="84">
        <f>D28*-0.005778</f>
        <v>-696.91545655358448</v>
      </c>
      <c r="E48" s="84">
        <f t="shared" ref="E48:O48" si="17">E28*-0.005778</f>
        <v>-4123.525967659747</v>
      </c>
      <c r="F48" s="84">
        <f t="shared" si="17"/>
        <v>-2857.9493933735994</v>
      </c>
      <c r="G48" s="84">
        <f t="shared" si="17"/>
        <v>0</v>
      </c>
      <c r="H48" s="84">
        <f t="shared" si="17"/>
        <v>0</v>
      </c>
      <c r="I48" s="84">
        <f t="shared" si="17"/>
        <v>0</v>
      </c>
      <c r="J48" s="84">
        <f t="shared" si="17"/>
        <v>0</v>
      </c>
      <c r="K48" s="84">
        <f t="shared" si="17"/>
        <v>0</v>
      </c>
      <c r="L48" s="84">
        <f t="shared" si="17"/>
        <v>0</v>
      </c>
      <c r="M48" s="84">
        <f t="shared" si="17"/>
        <v>0</v>
      </c>
      <c r="N48" s="84">
        <f t="shared" si="17"/>
        <v>0</v>
      </c>
      <c r="O48" s="84">
        <f t="shared" si="17"/>
        <v>0</v>
      </c>
      <c r="P48" s="84">
        <f>SUM(D48:F48)</f>
        <v>-7678.390817586931</v>
      </c>
      <c r="Q48" s="84">
        <f>SUM(G48:I48)</f>
        <v>0</v>
      </c>
      <c r="R48" s="84">
        <f>SUM(J48:L48)</f>
        <v>0</v>
      </c>
      <c r="S48" s="84">
        <f>SUM(M48:O48)</f>
        <v>0</v>
      </c>
      <c r="T48" s="84">
        <f>SUM(D48:O48)</f>
        <v>-7678.390817586931</v>
      </c>
    </row>
    <row r="49" spans="1:20">
      <c r="A49" s="28">
        <v>39</v>
      </c>
      <c r="B49" s="13"/>
      <c r="C49" s="3" t="s">
        <v>93</v>
      </c>
      <c r="D49" s="87">
        <v>0.01</v>
      </c>
      <c r="E49" s="87">
        <f t="shared" ref="E49:O49" si="18">D49</f>
        <v>0.01</v>
      </c>
      <c r="F49" s="87">
        <f t="shared" si="18"/>
        <v>0.01</v>
      </c>
      <c r="G49" s="87">
        <v>0</v>
      </c>
      <c r="H49" s="87">
        <f t="shared" si="18"/>
        <v>0</v>
      </c>
      <c r="I49" s="87">
        <f t="shared" si="18"/>
        <v>0</v>
      </c>
      <c r="J49" s="87">
        <f t="shared" si="18"/>
        <v>0</v>
      </c>
      <c r="K49" s="87">
        <f t="shared" si="18"/>
        <v>0</v>
      </c>
      <c r="L49" s="87">
        <f t="shared" si="18"/>
        <v>0</v>
      </c>
      <c r="M49" s="87">
        <f t="shared" si="18"/>
        <v>0</v>
      </c>
      <c r="N49" s="87">
        <f t="shared" si="18"/>
        <v>0</v>
      </c>
      <c r="O49" s="87">
        <f t="shared" si="18"/>
        <v>0</v>
      </c>
    </row>
    <row r="50" spans="1:20">
      <c r="A50" s="85">
        <v>40</v>
      </c>
      <c r="B50" s="83" t="s">
        <v>24</v>
      </c>
      <c r="C50" s="83" t="s">
        <v>28</v>
      </c>
      <c r="D50" s="88">
        <f>(D47+D48)/2*D49/12</f>
        <v>53.863439463092682</v>
      </c>
      <c r="E50" s="88">
        <f>(D53+(E47+E48)/2)*E49/12</f>
        <v>410.61325993122205</v>
      </c>
      <c r="F50" s="88">
        <f t="shared" ref="F50:O50" si="19">(E53+(F47+F48)/2)*F49/12</f>
        <v>927.70015096984309</v>
      </c>
      <c r="G50" s="88">
        <f t="shared" si="19"/>
        <v>0</v>
      </c>
      <c r="H50" s="88">
        <f t="shared" si="19"/>
        <v>0</v>
      </c>
      <c r="I50" s="88">
        <f t="shared" si="19"/>
        <v>0</v>
      </c>
      <c r="J50" s="88">
        <f t="shared" si="19"/>
        <v>0</v>
      </c>
      <c r="K50" s="88">
        <f t="shared" si="19"/>
        <v>0</v>
      </c>
      <c r="L50" s="88">
        <f t="shared" si="19"/>
        <v>0</v>
      </c>
      <c r="M50" s="88">
        <f t="shared" si="19"/>
        <v>0</v>
      </c>
      <c r="N50" s="88">
        <f t="shared" si="19"/>
        <v>0</v>
      </c>
      <c r="O50" s="88">
        <f t="shared" si="19"/>
        <v>0</v>
      </c>
      <c r="P50" s="88">
        <f>SUM(D50:F50)</f>
        <v>1392.1768503641579</v>
      </c>
      <c r="Q50" s="88">
        <f>SUM(G50:I50)</f>
        <v>0</v>
      </c>
      <c r="R50" s="88">
        <f>SUM(J50:L50)</f>
        <v>0</v>
      </c>
      <c r="S50" s="88">
        <f>SUM(M50:O50)</f>
        <v>0</v>
      </c>
      <c r="T50" s="88">
        <f>SUM(D50:O50)</f>
        <v>1392.1768503641579</v>
      </c>
    </row>
    <row r="51" spans="1:20">
      <c r="A51" s="89">
        <v>41</v>
      </c>
      <c r="B51" s="90" t="s">
        <v>25</v>
      </c>
      <c r="C51" s="91"/>
      <c r="D51" s="92">
        <f>D47+D48+D50</f>
        <v>129326.11815088552</v>
      </c>
      <c r="E51" s="92">
        <f>E47+E48+E50</f>
        <v>727230.20079309307</v>
      </c>
      <c r="F51" s="92">
        <f t="shared" ref="F51:T51" si="20">F47+F48+F50</f>
        <v>514295.42459063616</v>
      </c>
      <c r="G51" s="92">
        <f t="shared" si="20"/>
        <v>0</v>
      </c>
      <c r="H51" s="92">
        <f t="shared" si="20"/>
        <v>0</v>
      </c>
      <c r="I51" s="92">
        <f t="shared" si="20"/>
        <v>0</v>
      </c>
      <c r="J51" s="92">
        <f t="shared" si="20"/>
        <v>0</v>
      </c>
      <c r="K51" s="92">
        <f t="shared" si="20"/>
        <v>0</v>
      </c>
      <c r="L51" s="92">
        <f t="shared" si="20"/>
        <v>0</v>
      </c>
      <c r="M51" s="92">
        <f t="shared" si="20"/>
        <v>0</v>
      </c>
      <c r="N51" s="92">
        <f t="shared" si="20"/>
        <v>0</v>
      </c>
      <c r="O51" s="92">
        <f t="shared" si="20"/>
        <v>0</v>
      </c>
      <c r="P51" s="92">
        <f t="shared" si="20"/>
        <v>1370851.7435346146</v>
      </c>
      <c r="Q51" s="92">
        <f t="shared" si="20"/>
        <v>0</v>
      </c>
      <c r="R51" s="92">
        <f t="shared" si="20"/>
        <v>0</v>
      </c>
      <c r="S51" s="92">
        <f t="shared" si="20"/>
        <v>0</v>
      </c>
      <c r="T51" s="92">
        <f t="shared" si="20"/>
        <v>1370851.7435346146</v>
      </c>
    </row>
    <row r="52" spans="1:20">
      <c r="A52" s="49">
        <v>42</v>
      </c>
      <c r="B52" s="13"/>
      <c r="C52" s="28"/>
      <c r="D52" s="78"/>
      <c r="E52" s="78"/>
      <c r="F52" s="78"/>
      <c r="G52" s="78"/>
      <c r="H52" s="78"/>
      <c r="I52" s="78"/>
      <c r="J52" s="78"/>
      <c r="K52" s="78"/>
      <c r="L52" s="78"/>
      <c r="M52" s="78"/>
      <c r="N52" s="78"/>
      <c r="O52" s="78"/>
    </row>
    <row r="53" spans="1:20">
      <c r="A53" s="28">
        <v>43</v>
      </c>
      <c r="B53" s="13" t="s">
        <v>94</v>
      </c>
      <c r="C53" s="28" t="str">
        <f>"Σ(("&amp;A$47&amp;"), ("&amp;A48&amp;"), ("&amp;A50&amp;"))"</f>
        <v>Σ((37), (38), (40))</v>
      </c>
      <c r="D53" s="77">
        <f>D47+D48+D50</f>
        <v>129326.11815088552</v>
      </c>
      <c r="E53" s="77">
        <f>D53+E47+E48+E50</f>
        <v>856556.31894397864</v>
      </c>
      <c r="F53" s="77">
        <f t="shared" ref="F53:O53" si="21">E53+F47+F48+F50</f>
        <v>1370851.7435346148</v>
      </c>
      <c r="G53" s="77">
        <f t="shared" si="21"/>
        <v>1370851.7435346148</v>
      </c>
      <c r="H53" s="77">
        <f t="shared" si="21"/>
        <v>1370851.7435346148</v>
      </c>
      <c r="I53" s="77">
        <f t="shared" si="21"/>
        <v>1370851.7435346148</v>
      </c>
      <c r="J53" s="77">
        <f t="shared" si="21"/>
        <v>1370851.7435346148</v>
      </c>
      <c r="K53" s="77">
        <f t="shared" si="21"/>
        <v>1370851.7435346148</v>
      </c>
      <c r="L53" s="77">
        <f t="shared" si="21"/>
        <v>1370851.7435346148</v>
      </c>
      <c r="M53" s="77">
        <f t="shared" si="21"/>
        <v>1370851.7435346148</v>
      </c>
      <c r="N53" s="77">
        <f t="shared" si="21"/>
        <v>1370851.7435346148</v>
      </c>
      <c r="O53" s="77">
        <f t="shared" si="21"/>
        <v>1370851.7435346148</v>
      </c>
    </row>
    <row r="54" spans="1:20">
      <c r="A54" s="28"/>
      <c r="B54" s="13"/>
      <c r="C54" s="28"/>
      <c r="D54" s="77"/>
      <c r="E54" s="77"/>
      <c r="F54" s="77"/>
      <c r="G54" s="77"/>
      <c r="H54" s="77"/>
      <c r="I54" s="77"/>
      <c r="J54" s="77"/>
      <c r="K54" s="77"/>
      <c r="L54" s="77"/>
      <c r="M54" s="77"/>
      <c r="N54" s="77"/>
      <c r="O54" s="93"/>
    </row>
    <row r="55" spans="1:20">
      <c r="A55" s="28"/>
      <c r="B55" s="1" t="s">
        <v>26</v>
      </c>
      <c r="C55" s="28"/>
      <c r="D55" s="77"/>
      <c r="E55" s="77"/>
      <c r="F55" s="77"/>
      <c r="G55" s="77"/>
      <c r="H55" s="77"/>
      <c r="I55" s="77"/>
      <c r="J55" s="77"/>
      <c r="K55" s="77"/>
      <c r="L55" s="77"/>
      <c r="M55" s="77"/>
      <c r="N55" s="77"/>
      <c r="O55" s="77"/>
    </row>
    <row r="56" spans="1:20">
      <c r="A56" s="28"/>
      <c r="B56" s="1"/>
      <c r="C56" s="28"/>
      <c r="D56" s="77"/>
      <c r="E56" s="77"/>
      <c r="F56" s="77"/>
      <c r="G56" s="77"/>
      <c r="H56" s="77"/>
      <c r="I56" s="77"/>
      <c r="J56" s="77"/>
      <c r="K56" s="77"/>
      <c r="L56" s="77"/>
      <c r="M56" s="77"/>
      <c r="N56" s="77"/>
      <c r="O56" s="77"/>
    </row>
    <row r="57" spans="1:20">
      <c r="A57" s="28">
        <v>1</v>
      </c>
      <c r="B57" s="13" t="s">
        <v>70</v>
      </c>
      <c r="C57" s="28" t="s">
        <v>71</v>
      </c>
      <c r="D57" s="105">
        <v>1411</v>
      </c>
      <c r="E57" s="105">
        <v>1416</v>
      </c>
      <c r="F57" s="105">
        <v>1430</v>
      </c>
      <c r="G57" s="105"/>
      <c r="H57" s="105"/>
      <c r="I57" s="105"/>
      <c r="J57" s="105"/>
      <c r="K57" s="105"/>
      <c r="L57" s="105"/>
      <c r="M57" s="105"/>
      <c r="N57" s="105"/>
      <c r="O57" s="105"/>
    </row>
    <row r="58" spans="1:20">
      <c r="A58" s="28">
        <v>2</v>
      </c>
      <c r="B58" s="13" t="s">
        <v>101</v>
      </c>
      <c r="C58" s="28" t="s">
        <v>71</v>
      </c>
      <c r="D58" s="105">
        <v>2846717</v>
      </c>
      <c r="E58" s="105">
        <v>2341568</v>
      </c>
      <c r="F58" s="105">
        <v>2149728</v>
      </c>
      <c r="G58" s="105"/>
      <c r="H58" s="105"/>
      <c r="I58" s="105"/>
      <c r="J58" s="105"/>
      <c r="K58" s="105"/>
      <c r="L58" s="105"/>
      <c r="M58" s="105"/>
      <c r="N58" s="105"/>
      <c r="O58" s="105"/>
    </row>
    <row r="59" spans="1:20">
      <c r="A59" s="28">
        <v>3</v>
      </c>
      <c r="B59" s="13" t="s">
        <v>73</v>
      </c>
      <c r="C59" s="28" t="s">
        <v>71</v>
      </c>
      <c r="D59" s="106">
        <v>823502.34704999998</v>
      </c>
      <c r="E59" s="106">
        <v>706758.38861999998</v>
      </c>
      <c r="F59" s="106">
        <v>646144.38504000008</v>
      </c>
      <c r="G59" s="106"/>
      <c r="H59" s="106"/>
      <c r="I59" s="106"/>
      <c r="J59" s="106"/>
      <c r="K59" s="106"/>
      <c r="L59" s="106"/>
      <c r="M59" s="106"/>
      <c r="N59" s="106"/>
      <c r="O59" s="106"/>
    </row>
    <row r="60" spans="1:20">
      <c r="A60" s="28">
        <v>4</v>
      </c>
      <c r="B60" s="13" t="s">
        <v>74</v>
      </c>
      <c r="C60" s="28" t="s">
        <v>71</v>
      </c>
      <c r="D60" s="106">
        <v>138162.63</v>
      </c>
      <c r="E60" s="106">
        <v>142689.02000000002</v>
      </c>
      <c r="F60" s="106">
        <v>144144.59999999998</v>
      </c>
      <c r="G60" s="106"/>
      <c r="H60" s="106"/>
      <c r="I60" s="106"/>
      <c r="J60" s="106"/>
      <c r="K60" s="106"/>
      <c r="L60" s="106"/>
      <c r="M60" s="106"/>
      <c r="N60" s="106"/>
      <c r="O60" s="106"/>
    </row>
    <row r="61" spans="1:20">
      <c r="A61" s="28">
        <v>5</v>
      </c>
      <c r="B61" s="13"/>
      <c r="C61" s="28"/>
      <c r="D61" s="77"/>
      <c r="E61" s="77"/>
      <c r="F61" s="77"/>
      <c r="G61" s="77"/>
      <c r="H61" s="77"/>
      <c r="I61" s="77"/>
      <c r="J61" s="77"/>
      <c r="K61" s="77"/>
      <c r="L61" s="77"/>
      <c r="M61" s="77"/>
      <c r="N61" s="77"/>
      <c r="O61" s="77"/>
    </row>
    <row r="62" spans="1:20">
      <c r="A62" s="28">
        <v>6</v>
      </c>
      <c r="B62" s="71" t="str">
        <f t="shared" ref="B62" si="22">B16</f>
        <v>Existing Customers</v>
      </c>
      <c r="C62" s="28"/>
      <c r="D62" s="77"/>
      <c r="E62" s="77"/>
      <c r="F62" s="77"/>
      <c r="G62" s="77"/>
      <c r="H62" s="77"/>
      <c r="I62" s="77"/>
      <c r="J62" s="77"/>
      <c r="K62" s="77"/>
      <c r="L62" s="77"/>
      <c r="M62" s="77"/>
      <c r="N62" s="77"/>
      <c r="O62" s="77"/>
    </row>
    <row r="63" spans="1:20">
      <c r="A63" s="28">
        <v>7</v>
      </c>
      <c r="B63" s="13" t="str">
        <f>B17</f>
        <v>Actual Customers on System During Test Year</v>
      </c>
      <c r="C63" s="28" t="str">
        <f>C17</f>
        <v>(1) - (22)</v>
      </c>
      <c r="D63" s="73">
        <f>D57-D78</f>
        <v>1393</v>
      </c>
      <c r="E63" s="73">
        <f t="shared" ref="E63:O63" si="23">E57-E78</f>
        <v>1399</v>
      </c>
      <c r="F63" s="73">
        <f t="shared" si="23"/>
        <v>1412</v>
      </c>
      <c r="G63" s="73">
        <f t="shared" si="23"/>
        <v>0</v>
      </c>
      <c r="H63" s="73">
        <f t="shared" si="23"/>
        <v>0</v>
      </c>
      <c r="I63" s="73">
        <f t="shared" si="23"/>
        <v>0</v>
      </c>
      <c r="J63" s="73">
        <f t="shared" si="23"/>
        <v>0</v>
      </c>
      <c r="K63" s="73">
        <f t="shared" si="23"/>
        <v>0</v>
      </c>
      <c r="L63" s="73">
        <f t="shared" si="23"/>
        <v>0</v>
      </c>
      <c r="M63" s="73">
        <f t="shared" si="23"/>
        <v>0</v>
      </c>
      <c r="N63" s="73">
        <f t="shared" si="23"/>
        <v>0</v>
      </c>
      <c r="O63" s="73">
        <f t="shared" si="23"/>
        <v>0</v>
      </c>
      <c r="P63" s="29">
        <f>SUM(D63:F63)</f>
        <v>4204</v>
      </c>
      <c r="Q63" s="29">
        <f>SUM(G63:I63)</f>
        <v>0</v>
      </c>
      <c r="R63" s="29">
        <f>SUM(J63:L63)</f>
        <v>0</v>
      </c>
      <c r="S63" s="29">
        <f>SUM(M63:O63)</f>
        <v>0</v>
      </c>
      <c r="T63" s="29">
        <f>SUM(D63:O63)</f>
        <v>4204</v>
      </c>
    </row>
    <row r="64" spans="1:20">
      <c r="A64" s="74">
        <v>8</v>
      </c>
      <c r="B64" s="13" t="str">
        <f t="shared" ref="B64:C79" si="24">B18</f>
        <v>Monthly Fixed Cost Adj. Revenue per Customer</v>
      </c>
      <c r="C64" s="28" t="str">
        <f t="shared" si="24"/>
        <v>Page 3</v>
      </c>
      <c r="D64" s="75">
        <v>502.94424135382826</v>
      </c>
      <c r="E64" s="75">
        <v>448.14092029270279</v>
      </c>
      <c r="F64" s="75">
        <v>403.09698078062956</v>
      </c>
      <c r="G64" s="75">
        <v>278.74717583648373</v>
      </c>
      <c r="H64" s="75">
        <v>200.4996725714629</v>
      </c>
      <c r="I64" s="75">
        <v>210.35237663624716</v>
      </c>
      <c r="J64" s="75">
        <v>148.83750255122652</v>
      </c>
      <c r="K64" s="75">
        <v>175.32266092772522</v>
      </c>
      <c r="L64" s="75">
        <v>153.93451079245727</v>
      </c>
      <c r="M64" s="75">
        <v>332.25964419748379</v>
      </c>
      <c r="N64" s="75">
        <v>411.65214294398595</v>
      </c>
      <c r="O64" s="75">
        <v>478.17217111576696</v>
      </c>
      <c r="P64" s="67">
        <f>P65/P63</f>
        <v>451.17112572731276</v>
      </c>
      <c r="Q64" s="67" t="e">
        <f>Q65/Q63</f>
        <v>#DIV/0!</v>
      </c>
      <c r="R64" s="67" t="e">
        <f>R65/R63</f>
        <v>#DIV/0!</v>
      </c>
      <c r="S64" s="67" t="e">
        <f>S65/S63</f>
        <v>#DIV/0!</v>
      </c>
      <c r="T64" s="67">
        <f>T65/T63</f>
        <v>451.17112572731276</v>
      </c>
    </row>
    <row r="65" spans="1:20">
      <c r="A65" s="28">
        <v>9</v>
      </c>
      <c r="B65" s="13" t="str">
        <f t="shared" si="24"/>
        <v>Fixed Cost Adjustment Revenue</v>
      </c>
      <c r="C65" s="28" t="str">
        <f t="shared" si="24"/>
        <v>(7) x (8)</v>
      </c>
      <c r="D65" s="77">
        <f t="shared" ref="D65:O65" si="25">D63*D64</f>
        <v>700601.3282058828</v>
      </c>
      <c r="E65" s="77">
        <f t="shared" si="25"/>
        <v>626949.14748949115</v>
      </c>
      <c r="F65" s="77">
        <f t="shared" si="25"/>
        <v>569172.93686224893</v>
      </c>
      <c r="G65" s="77">
        <f t="shared" si="25"/>
        <v>0</v>
      </c>
      <c r="H65" s="77">
        <f t="shared" si="25"/>
        <v>0</v>
      </c>
      <c r="I65" s="77">
        <f t="shared" si="25"/>
        <v>0</v>
      </c>
      <c r="J65" s="77">
        <f t="shared" si="25"/>
        <v>0</v>
      </c>
      <c r="K65" s="77">
        <f t="shared" si="25"/>
        <v>0</v>
      </c>
      <c r="L65" s="77">
        <f t="shared" si="25"/>
        <v>0</v>
      </c>
      <c r="M65" s="77">
        <f t="shared" si="25"/>
        <v>0</v>
      </c>
      <c r="N65" s="77">
        <f t="shared" si="25"/>
        <v>0</v>
      </c>
      <c r="O65" s="77">
        <f t="shared" si="25"/>
        <v>0</v>
      </c>
      <c r="P65" s="30">
        <f>SUM(D65:F65)</f>
        <v>1896723.4125576229</v>
      </c>
      <c r="Q65" s="30">
        <f>SUM(G65:I65)</f>
        <v>0</v>
      </c>
      <c r="R65" s="30">
        <f>SUM(J65:L65)</f>
        <v>0</v>
      </c>
      <c r="S65" s="30">
        <f>SUM(M65:O65)</f>
        <v>0</v>
      </c>
      <c r="T65" s="30">
        <f>SUM(D65:O65)</f>
        <v>1896723.4125576229</v>
      </c>
    </row>
    <row r="66" spans="1:20">
      <c r="A66" s="28">
        <v>10</v>
      </c>
      <c r="B66" s="13"/>
      <c r="C66" s="28"/>
      <c r="D66" s="78"/>
      <c r="E66" s="78"/>
      <c r="F66" s="78"/>
      <c r="G66" s="78"/>
      <c r="H66" s="78"/>
      <c r="I66" s="78"/>
      <c r="J66" s="78"/>
      <c r="K66" s="78"/>
      <c r="L66" s="78"/>
      <c r="M66" s="78"/>
      <c r="N66" s="78"/>
      <c r="O66" s="78"/>
    </row>
    <row r="67" spans="1:20">
      <c r="A67" s="28">
        <v>11</v>
      </c>
      <c r="B67" s="13" t="str">
        <f t="shared" si="24"/>
        <v>Actual Base Rate Revenue</v>
      </c>
      <c r="C67" s="28" t="str">
        <f t="shared" si="24"/>
        <v>(3) - (26)</v>
      </c>
      <c r="D67" s="77">
        <f>D59-D82</f>
        <v>810125.50705000001</v>
      </c>
      <c r="E67" s="77">
        <f t="shared" ref="E67:O68" si="26">E59-E82</f>
        <v>696225.17862000002</v>
      </c>
      <c r="F67" s="77">
        <f t="shared" si="26"/>
        <v>632509.2850400001</v>
      </c>
      <c r="G67" s="77">
        <f t="shared" si="26"/>
        <v>0</v>
      </c>
      <c r="H67" s="77">
        <f t="shared" si="26"/>
        <v>0</v>
      </c>
      <c r="I67" s="77">
        <f t="shared" si="26"/>
        <v>0</v>
      </c>
      <c r="J67" s="77">
        <f t="shared" si="26"/>
        <v>0</v>
      </c>
      <c r="K67" s="77">
        <f t="shared" si="26"/>
        <v>0</v>
      </c>
      <c r="L67" s="77">
        <f t="shared" si="26"/>
        <v>0</v>
      </c>
      <c r="M67" s="77">
        <f t="shared" si="26"/>
        <v>0</v>
      </c>
      <c r="N67" s="77">
        <f t="shared" si="26"/>
        <v>0</v>
      </c>
      <c r="O67" s="77">
        <f t="shared" si="26"/>
        <v>0</v>
      </c>
    </row>
    <row r="68" spans="1:20">
      <c r="A68" s="28">
        <v>12</v>
      </c>
      <c r="B68" s="13" t="str">
        <f t="shared" si="24"/>
        <v>Actual Fixed Charge Revenue</v>
      </c>
      <c r="C68" s="28" t="str">
        <f t="shared" si="24"/>
        <v>(4) - (27)</v>
      </c>
      <c r="D68" s="77">
        <f>D60-D83</f>
        <v>136349.13</v>
      </c>
      <c r="E68" s="77">
        <f t="shared" si="26"/>
        <v>140976.27000000002</v>
      </c>
      <c r="F68" s="77">
        <f t="shared" si="26"/>
        <v>142331.09999999998</v>
      </c>
      <c r="G68" s="77">
        <f t="shared" si="26"/>
        <v>0</v>
      </c>
      <c r="H68" s="77">
        <f t="shared" si="26"/>
        <v>0</v>
      </c>
      <c r="I68" s="77">
        <f t="shared" si="26"/>
        <v>0</v>
      </c>
      <c r="J68" s="77">
        <f t="shared" si="26"/>
        <v>0</v>
      </c>
      <c r="K68" s="77">
        <f t="shared" si="26"/>
        <v>0</v>
      </c>
      <c r="L68" s="77">
        <f t="shared" si="26"/>
        <v>0</v>
      </c>
      <c r="M68" s="77">
        <f t="shared" si="26"/>
        <v>0</v>
      </c>
      <c r="N68" s="77">
        <f t="shared" si="26"/>
        <v>0</v>
      </c>
      <c r="O68" s="77">
        <f t="shared" si="26"/>
        <v>0</v>
      </c>
    </row>
    <row r="69" spans="1:20">
      <c r="A69" s="28">
        <v>13</v>
      </c>
      <c r="B69" s="13" t="str">
        <f t="shared" si="24"/>
        <v>Actual Usage (Therms)</v>
      </c>
      <c r="C69" s="28" t="str">
        <f t="shared" si="24"/>
        <v>(2) - (28)</v>
      </c>
      <c r="D69" s="73">
        <f>D58-D84</f>
        <v>2811724</v>
      </c>
      <c r="E69" s="73">
        <f t="shared" ref="E69:O69" si="27">E58-E84</f>
        <v>2314794</v>
      </c>
      <c r="F69" s="73">
        <f t="shared" si="27"/>
        <v>2109170</v>
      </c>
      <c r="G69" s="73">
        <f t="shared" si="27"/>
        <v>0</v>
      </c>
      <c r="H69" s="73">
        <f t="shared" si="27"/>
        <v>0</v>
      </c>
      <c r="I69" s="73">
        <f t="shared" si="27"/>
        <v>0</v>
      </c>
      <c r="J69" s="73">
        <f t="shared" si="27"/>
        <v>0</v>
      </c>
      <c r="K69" s="73">
        <f t="shared" si="27"/>
        <v>0</v>
      </c>
      <c r="L69" s="73">
        <f t="shared" si="27"/>
        <v>0</v>
      </c>
      <c r="M69" s="73">
        <f t="shared" si="27"/>
        <v>0</v>
      </c>
      <c r="N69" s="73">
        <f t="shared" si="27"/>
        <v>0</v>
      </c>
      <c r="O69" s="73">
        <f t="shared" si="27"/>
        <v>0</v>
      </c>
    </row>
    <row r="70" spans="1:20">
      <c r="A70" s="28">
        <v>14</v>
      </c>
      <c r="B70" s="13"/>
      <c r="C70" s="28"/>
      <c r="D70" s="79"/>
      <c r="E70" s="79"/>
      <c r="F70" s="79"/>
      <c r="G70" s="79"/>
      <c r="H70" s="79"/>
      <c r="I70" s="79"/>
      <c r="J70" s="79"/>
      <c r="K70" s="79"/>
      <c r="L70" s="79"/>
      <c r="M70" s="79"/>
      <c r="N70" s="79"/>
      <c r="O70" s="79"/>
    </row>
    <row r="71" spans="1:20">
      <c r="A71" s="28">
        <v>15</v>
      </c>
      <c r="B71" s="13"/>
      <c r="C71" s="28"/>
      <c r="D71" s="77"/>
      <c r="E71" s="77"/>
      <c r="F71" s="77"/>
      <c r="G71" s="77"/>
      <c r="H71" s="77"/>
      <c r="I71" s="77"/>
      <c r="J71" s="77"/>
      <c r="K71" s="77"/>
      <c r="L71" s="77"/>
      <c r="M71" s="77"/>
      <c r="N71" s="77"/>
      <c r="O71" s="77"/>
    </row>
    <row r="72" spans="1:20">
      <c r="A72" s="28">
        <v>16</v>
      </c>
      <c r="B72" s="13" t="str">
        <f t="shared" si="24"/>
        <v>Customer Fixed Cost Adjustment Revenue</v>
      </c>
      <c r="C72" s="28" t="str">
        <f t="shared" si="24"/>
        <v>(11) - (12) -(15)</v>
      </c>
      <c r="D72" s="77">
        <f>D67-D68-D71</f>
        <v>673776.37705000001</v>
      </c>
      <c r="E72" s="77">
        <f t="shared" ref="E72:O72" si="28">E67-E68-E71</f>
        <v>555248.90862</v>
      </c>
      <c r="F72" s="77">
        <f t="shared" si="28"/>
        <v>490178.18504000013</v>
      </c>
      <c r="G72" s="77">
        <f t="shared" si="28"/>
        <v>0</v>
      </c>
      <c r="H72" s="77">
        <f t="shared" si="28"/>
        <v>0</v>
      </c>
      <c r="I72" s="77">
        <f t="shared" si="28"/>
        <v>0</v>
      </c>
      <c r="J72" s="77">
        <f t="shared" si="28"/>
        <v>0</v>
      </c>
      <c r="K72" s="77">
        <f t="shared" si="28"/>
        <v>0</v>
      </c>
      <c r="L72" s="77">
        <f t="shared" si="28"/>
        <v>0</v>
      </c>
      <c r="M72" s="77">
        <f t="shared" si="28"/>
        <v>0</v>
      </c>
      <c r="N72" s="77">
        <f t="shared" si="28"/>
        <v>0</v>
      </c>
      <c r="O72" s="77">
        <f t="shared" si="28"/>
        <v>0</v>
      </c>
      <c r="P72" s="30">
        <f>SUM(D72:F72)</f>
        <v>1719203.4707100003</v>
      </c>
      <c r="Q72" s="30">
        <f>SUM(G72:I72)</f>
        <v>0</v>
      </c>
      <c r="R72" s="30">
        <f>SUM(J72:L72)</f>
        <v>0</v>
      </c>
      <c r="S72" s="30">
        <f>SUM(M72:O72)</f>
        <v>0</v>
      </c>
      <c r="T72" s="30">
        <f>SUM(D72:O72)</f>
        <v>1719203.4707100003</v>
      </c>
    </row>
    <row r="73" spans="1:20">
      <c r="A73" s="28">
        <v>17</v>
      </c>
      <c r="B73" s="3" t="s">
        <v>27</v>
      </c>
      <c r="C73" s="28"/>
      <c r="D73" s="96">
        <f>D72/D63</f>
        <v>483.68727713567841</v>
      </c>
      <c r="E73" s="96">
        <f t="shared" ref="E73:O73" si="29">E72/E63</f>
        <v>396.88985605432453</v>
      </c>
      <c r="F73" s="96">
        <f t="shared" si="29"/>
        <v>347.15168912181315</v>
      </c>
      <c r="G73" s="96" t="e">
        <f t="shared" si="29"/>
        <v>#DIV/0!</v>
      </c>
      <c r="H73" s="96" t="e">
        <f t="shared" si="29"/>
        <v>#DIV/0!</v>
      </c>
      <c r="I73" s="96" t="e">
        <f t="shared" si="29"/>
        <v>#DIV/0!</v>
      </c>
      <c r="J73" s="96" t="e">
        <f t="shared" si="29"/>
        <v>#DIV/0!</v>
      </c>
      <c r="K73" s="96" t="e">
        <f t="shared" si="29"/>
        <v>#DIV/0!</v>
      </c>
      <c r="L73" s="96" t="e">
        <f t="shared" si="29"/>
        <v>#DIV/0!</v>
      </c>
      <c r="M73" s="96" t="e">
        <f t="shared" si="29"/>
        <v>#DIV/0!</v>
      </c>
      <c r="N73" s="96" t="e">
        <f t="shared" si="29"/>
        <v>#DIV/0!</v>
      </c>
      <c r="O73" s="96" t="e">
        <f t="shared" si="29"/>
        <v>#DIV/0!</v>
      </c>
      <c r="P73" s="67">
        <f>P72/P63</f>
        <v>408.94468856089446</v>
      </c>
      <c r="Q73" s="67" t="e">
        <f t="shared" ref="Q73:T73" si="30">Q72/Q63</f>
        <v>#DIV/0!</v>
      </c>
      <c r="R73" s="67" t="e">
        <f t="shared" si="30"/>
        <v>#DIV/0!</v>
      </c>
      <c r="S73" s="67" t="e">
        <f t="shared" si="30"/>
        <v>#DIV/0!</v>
      </c>
      <c r="T73" s="67">
        <f t="shared" si="30"/>
        <v>408.94468856089446</v>
      </c>
    </row>
    <row r="74" spans="1:20">
      <c r="A74" s="28">
        <v>18</v>
      </c>
      <c r="B74" s="13" t="str">
        <f t="shared" si="24"/>
        <v>Existing Customer Deferral - Surcharge (Rebate)</v>
      </c>
      <c r="C74" s="28" t="str">
        <f t="shared" si="24"/>
        <v>(9) - (16)</v>
      </c>
      <c r="D74" s="77">
        <f>D65-D72</f>
        <v>26824.951155882794</v>
      </c>
      <c r="E74" s="77">
        <f t="shared" ref="E74:O74" si="31">E65-E72</f>
        <v>71700.23886949115</v>
      </c>
      <c r="F74" s="77">
        <f t="shared" si="31"/>
        <v>78994.7518222488</v>
      </c>
      <c r="G74" s="77">
        <f t="shared" si="31"/>
        <v>0</v>
      </c>
      <c r="H74" s="77">
        <f t="shared" si="31"/>
        <v>0</v>
      </c>
      <c r="I74" s="77">
        <f t="shared" si="31"/>
        <v>0</v>
      </c>
      <c r="J74" s="77">
        <f t="shared" si="31"/>
        <v>0</v>
      </c>
      <c r="K74" s="77">
        <f t="shared" si="31"/>
        <v>0</v>
      </c>
      <c r="L74" s="77">
        <f t="shared" si="31"/>
        <v>0</v>
      </c>
      <c r="M74" s="77">
        <f t="shared" si="31"/>
        <v>0</v>
      </c>
      <c r="N74" s="77">
        <f t="shared" si="31"/>
        <v>0</v>
      </c>
      <c r="O74" s="77">
        <f t="shared" si="31"/>
        <v>0</v>
      </c>
      <c r="P74" s="30">
        <f>SUM(D74:F74)</f>
        <v>177519.94184762274</v>
      </c>
      <c r="Q74" s="30">
        <f>SUM(G74:I74)</f>
        <v>0</v>
      </c>
      <c r="R74" s="30">
        <f>SUM(J74:L74)</f>
        <v>0</v>
      </c>
      <c r="S74" s="30">
        <f>SUM(M74:O74)</f>
        <v>0</v>
      </c>
      <c r="T74" s="30">
        <f>SUM(D74:O74)</f>
        <v>177519.94184762274</v>
      </c>
    </row>
    <row r="75" spans="1:20">
      <c r="A75" s="28">
        <v>19</v>
      </c>
      <c r="B75" s="13"/>
      <c r="C75" s="28"/>
      <c r="D75" s="77"/>
      <c r="E75" s="77"/>
      <c r="F75" s="77"/>
      <c r="G75" s="77"/>
      <c r="H75" s="77"/>
      <c r="I75" s="77"/>
      <c r="J75" s="77"/>
      <c r="K75" s="77"/>
      <c r="L75" s="77"/>
      <c r="M75" s="77"/>
      <c r="N75" s="77"/>
      <c r="O75" s="77"/>
    </row>
    <row r="76" spans="1:20" ht="14.45" customHeight="1">
      <c r="A76" s="28">
        <v>20</v>
      </c>
      <c r="B76" s="13"/>
      <c r="C76" s="28"/>
      <c r="D76" s="77"/>
      <c r="E76" s="77"/>
      <c r="F76" s="77"/>
      <c r="G76" s="77"/>
      <c r="H76" s="77"/>
      <c r="I76" s="77"/>
      <c r="J76" s="77"/>
      <c r="K76" s="77"/>
      <c r="L76" s="77"/>
      <c r="M76" s="77"/>
      <c r="N76" s="77"/>
      <c r="O76" s="77"/>
    </row>
    <row r="77" spans="1:20">
      <c r="A77" s="28">
        <v>21</v>
      </c>
      <c r="B77" s="71" t="str">
        <f t="shared" ref="B77:C91" si="32">B31</f>
        <v>New Customers</v>
      </c>
      <c r="C77" s="28"/>
      <c r="D77" s="77"/>
      <c r="E77" s="77"/>
      <c r="F77" s="77"/>
      <c r="G77" s="77"/>
      <c r="H77" s="77"/>
      <c r="I77" s="77"/>
      <c r="J77" s="77"/>
      <c r="K77" s="77"/>
      <c r="L77" s="77"/>
      <c r="M77" s="77"/>
      <c r="N77" s="77"/>
      <c r="O77" s="77"/>
    </row>
    <row r="78" spans="1:20">
      <c r="A78" s="28">
        <v>22</v>
      </c>
      <c r="B78" s="13" t="str">
        <f t="shared" si="32"/>
        <v>Actual Customers New Since Test Year</v>
      </c>
      <c r="C78" s="28" t="str">
        <f t="shared" si="24"/>
        <v>Revenue Reports</v>
      </c>
      <c r="D78" s="105">
        <v>18</v>
      </c>
      <c r="E78" s="105">
        <v>17</v>
      </c>
      <c r="F78" s="105">
        <v>18</v>
      </c>
      <c r="G78" s="105"/>
      <c r="H78" s="105"/>
      <c r="I78" s="105"/>
      <c r="J78" s="105"/>
      <c r="K78" s="105"/>
      <c r="L78" s="105"/>
      <c r="M78" s="105"/>
      <c r="N78" s="105"/>
      <c r="O78" s="105"/>
      <c r="P78" s="29">
        <f>SUM(D78:F78)</f>
        <v>53</v>
      </c>
      <c r="Q78" s="29">
        <f>SUM(G78:I78)</f>
        <v>0</v>
      </c>
      <c r="R78" s="29">
        <f>SUM(J78:L78)</f>
        <v>0</v>
      </c>
      <c r="S78" s="29">
        <f>SUM(M78:O78)</f>
        <v>0</v>
      </c>
      <c r="T78" s="29">
        <f>SUM(D78:O78)</f>
        <v>53</v>
      </c>
    </row>
    <row r="79" spans="1:20">
      <c r="A79" s="28">
        <v>23</v>
      </c>
      <c r="B79" s="13" t="str">
        <f t="shared" si="32"/>
        <v>Monthly Fixed Cost Adj. Revenue per Customer</v>
      </c>
      <c r="C79" s="28" t="str">
        <f t="shared" si="24"/>
        <v>Page 3</v>
      </c>
      <c r="D79" s="75">
        <v>436.2832671748813</v>
      </c>
      <c r="E79" s="75">
        <v>388.74365940400526</v>
      </c>
      <c r="F79" s="75">
        <v>349.6699103063799</v>
      </c>
      <c r="G79" s="75">
        <v>241.80161256515117</v>
      </c>
      <c r="H79" s="75">
        <v>173.92514920045011</v>
      </c>
      <c r="I79" s="75">
        <v>182.47196128506687</v>
      </c>
      <c r="J79" s="75">
        <v>129.1103596621478</v>
      </c>
      <c r="K79" s="75">
        <v>152.08513594557661</v>
      </c>
      <c r="L79" s="75">
        <v>133.53180288677959</v>
      </c>
      <c r="M79" s="75">
        <v>288.2214591634243</v>
      </c>
      <c r="N79" s="75">
        <v>357.09115861373294</v>
      </c>
      <c r="O79" s="75">
        <v>414.79452379240422</v>
      </c>
      <c r="P79" s="67">
        <f>P80/P78</f>
        <v>391.61885668926027</v>
      </c>
      <c r="Q79" s="67" t="e">
        <f>Q80/Q78</f>
        <v>#DIV/0!</v>
      </c>
      <c r="R79" s="67" t="e">
        <f>R80/R78</f>
        <v>#DIV/0!</v>
      </c>
      <c r="S79" s="67" t="e">
        <f>S80/S78</f>
        <v>#DIV/0!</v>
      </c>
      <c r="T79" s="67">
        <f>T80/T78</f>
        <v>391.61885668926027</v>
      </c>
    </row>
    <row r="80" spans="1:20">
      <c r="A80" s="28">
        <v>24</v>
      </c>
      <c r="B80" s="13" t="str">
        <f t="shared" si="32"/>
        <v>Fixed Cost Adjustment Revenue</v>
      </c>
      <c r="C80" s="28" t="str">
        <f t="shared" si="32"/>
        <v>(22) x (23)</v>
      </c>
      <c r="D80" s="77">
        <f t="shared" ref="D80:O80" si="33">D78*D79</f>
        <v>7853.098809147863</v>
      </c>
      <c r="E80" s="77">
        <f t="shared" si="33"/>
        <v>6608.6422098680896</v>
      </c>
      <c r="F80" s="77">
        <f t="shared" si="33"/>
        <v>6294.0583855148379</v>
      </c>
      <c r="G80" s="77">
        <f t="shared" si="33"/>
        <v>0</v>
      </c>
      <c r="H80" s="77">
        <f t="shared" si="33"/>
        <v>0</v>
      </c>
      <c r="I80" s="77">
        <f t="shared" si="33"/>
        <v>0</v>
      </c>
      <c r="J80" s="77">
        <f t="shared" si="33"/>
        <v>0</v>
      </c>
      <c r="K80" s="77">
        <f t="shared" si="33"/>
        <v>0</v>
      </c>
      <c r="L80" s="77">
        <f t="shared" si="33"/>
        <v>0</v>
      </c>
      <c r="M80" s="77">
        <f t="shared" si="33"/>
        <v>0</v>
      </c>
      <c r="N80" s="77">
        <f t="shared" si="33"/>
        <v>0</v>
      </c>
      <c r="O80" s="77">
        <f t="shared" si="33"/>
        <v>0</v>
      </c>
      <c r="P80" s="30">
        <f>SUM(D80:F80)</f>
        <v>20755.799404530793</v>
      </c>
      <c r="Q80" s="30">
        <f>SUM(G80:I80)</f>
        <v>0</v>
      </c>
      <c r="R80" s="30">
        <f>SUM(J80:L80)</f>
        <v>0</v>
      </c>
      <c r="S80" s="30">
        <f>SUM(M80:O80)</f>
        <v>0</v>
      </c>
      <c r="T80" s="30">
        <f>SUM(D80:O80)</f>
        <v>20755.799404530793</v>
      </c>
    </row>
    <row r="81" spans="1:20">
      <c r="A81" s="28">
        <v>25</v>
      </c>
      <c r="B81" s="13"/>
      <c r="C81" s="28"/>
      <c r="D81" s="78"/>
      <c r="E81" s="78"/>
      <c r="F81" s="78"/>
      <c r="G81" s="78"/>
      <c r="H81" s="78"/>
      <c r="I81" s="78"/>
      <c r="J81" s="78"/>
      <c r="K81" s="78"/>
      <c r="L81" s="78"/>
      <c r="M81" s="78"/>
      <c r="N81" s="78"/>
      <c r="O81" s="78"/>
    </row>
    <row r="82" spans="1:20">
      <c r="A82" s="28">
        <v>26</v>
      </c>
      <c r="B82" s="13" t="str">
        <f t="shared" ref="B82:B84" si="34">B36</f>
        <v>Actual Base Rate Revenue</v>
      </c>
      <c r="C82" s="28" t="str">
        <f t="shared" si="32"/>
        <v>Revenue Reports</v>
      </c>
      <c r="D82" s="106">
        <v>13376.84</v>
      </c>
      <c r="E82" s="106">
        <v>10533.21</v>
      </c>
      <c r="F82" s="106">
        <v>13635.1</v>
      </c>
      <c r="G82" s="106"/>
      <c r="H82" s="106"/>
      <c r="I82" s="106"/>
      <c r="J82" s="106"/>
      <c r="K82" s="106"/>
      <c r="L82" s="106"/>
      <c r="M82" s="106"/>
      <c r="N82" s="106"/>
      <c r="O82" s="106"/>
    </row>
    <row r="83" spans="1:20">
      <c r="A83" s="28">
        <v>27</v>
      </c>
      <c r="B83" s="13" t="str">
        <f t="shared" si="34"/>
        <v>Actual Fixed Charge Revenue</v>
      </c>
      <c r="C83" s="28" t="str">
        <f t="shared" si="32"/>
        <v>Revenue Reports</v>
      </c>
      <c r="D83" s="106">
        <v>1813.5</v>
      </c>
      <c r="E83" s="106">
        <v>1712.75</v>
      </c>
      <c r="F83" s="106">
        <v>1813.5</v>
      </c>
      <c r="G83" s="106"/>
      <c r="H83" s="106"/>
      <c r="I83" s="106"/>
      <c r="J83" s="106"/>
      <c r="K83" s="106"/>
      <c r="L83" s="106"/>
      <c r="M83" s="106"/>
      <c r="N83" s="106"/>
      <c r="O83" s="106"/>
    </row>
    <row r="84" spans="1:20">
      <c r="A84" s="28">
        <v>28</v>
      </c>
      <c r="B84" s="13" t="str">
        <f t="shared" si="34"/>
        <v>Actual Usage (Therms)</v>
      </c>
      <c r="C84" s="28" t="str">
        <f t="shared" si="32"/>
        <v>Revenue Reports</v>
      </c>
      <c r="D84" s="105">
        <v>34993</v>
      </c>
      <c r="E84" s="105">
        <v>26774</v>
      </c>
      <c r="F84" s="105">
        <v>40558</v>
      </c>
      <c r="G84" s="105"/>
      <c r="H84" s="105"/>
      <c r="I84" s="105"/>
      <c r="J84" s="105"/>
      <c r="K84" s="105"/>
      <c r="L84" s="105"/>
      <c r="M84" s="105"/>
      <c r="N84" s="105"/>
      <c r="O84" s="105"/>
    </row>
    <row r="85" spans="1:20">
      <c r="A85" s="28">
        <v>29</v>
      </c>
      <c r="B85" s="13"/>
      <c r="C85" s="28"/>
      <c r="D85" s="79"/>
      <c r="E85" s="79"/>
      <c r="F85" s="79"/>
      <c r="G85" s="79"/>
      <c r="H85" s="79"/>
      <c r="I85" s="79"/>
      <c r="J85" s="79"/>
      <c r="K85" s="79"/>
      <c r="L85" s="79"/>
      <c r="M85" s="79"/>
      <c r="N85" s="79"/>
      <c r="O85" s="79"/>
    </row>
    <row r="86" spans="1:20">
      <c r="A86" s="28">
        <v>30</v>
      </c>
      <c r="B86" s="13"/>
      <c r="C86" s="28"/>
      <c r="D86" s="77"/>
      <c r="E86" s="77"/>
      <c r="F86" s="77"/>
      <c r="G86" s="77"/>
      <c r="H86" s="77"/>
      <c r="I86" s="77"/>
      <c r="J86" s="77"/>
      <c r="K86" s="77"/>
      <c r="L86" s="77"/>
      <c r="M86" s="77"/>
      <c r="N86" s="77"/>
      <c r="O86" s="77"/>
    </row>
    <row r="87" spans="1:20">
      <c r="A87" s="28">
        <v>31</v>
      </c>
      <c r="B87" s="13" t="str">
        <f t="shared" ref="B87:B89" si="35">B41</f>
        <v>Fixed Production and UG Storage Rate per Therm</v>
      </c>
      <c r="C87" s="28" t="s">
        <v>95</v>
      </c>
      <c r="D87" s="79">
        <v>2.8684999999999999E-2</v>
      </c>
      <c r="E87" s="79">
        <f>D87</f>
        <v>2.8684999999999999E-2</v>
      </c>
      <c r="F87" s="79">
        <f t="shared" ref="F87:O87" si="36">E87</f>
        <v>2.8684999999999999E-2</v>
      </c>
      <c r="G87" s="79">
        <f t="shared" si="36"/>
        <v>2.8684999999999999E-2</v>
      </c>
      <c r="H87" s="79">
        <f t="shared" si="36"/>
        <v>2.8684999999999999E-2</v>
      </c>
      <c r="I87" s="79">
        <f t="shared" si="36"/>
        <v>2.8684999999999999E-2</v>
      </c>
      <c r="J87" s="79">
        <f t="shared" si="36"/>
        <v>2.8684999999999999E-2</v>
      </c>
      <c r="K87" s="79">
        <f t="shared" si="36"/>
        <v>2.8684999999999999E-2</v>
      </c>
      <c r="L87" s="79">
        <f t="shared" si="36"/>
        <v>2.8684999999999999E-2</v>
      </c>
      <c r="M87" s="79">
        <f t="shared" si="36"/>
        <v>2.8684999999999999E-2</v>
      </c>
      <c r="N87" s="79">
        <f t="shared" si="36"/>
        <v>2.8684999999999999E-2</v>
      </c>
      <c r="O87" s="79">
        <f t="shared" si="36"/>
        <v>2.8684999999999999E-2</v>
      </c>
    </row>
    <row r="88" spans="1:20">
      <c r="A88" s="28">
        <v>32</v>
      </c>
      <c r="B88" s="13" t="str">
        <f t="shared" si="35"/>
        <v>Fixed Production and UG Storage Revenue</v>
      </c>
      <c r="C88" s="28" t="str">
        <f t="shared" si="32"/>
        <v>(30) x (31)</v>
      </c>
      <c r="D88" s="77">
        <f>D84*D87</f>
        <v>1003.7742049999999</v>
      </c>
      <c r="E88" s="77">
        <f t="shared" ref="E88:O88" si="37">E84*E87</f>
        <v>768.01218999999992</v>
      </c>
      <c r="F88" s="77">
        <f t="shared" si="37"/>
        <v>1163.4062300000001</v>
      </c>
      <c r="G88" s="77">
        <f t="shared" si="37"/>
        <v>0</v>
      </c>
      <c r="H88" s="77">
        <f t="shared" si="37"/>
        <v>0</v>
      </c>
      <c r="I88" s="77">
        <f t="shared" si="37"/>
        <v>0</v>
      </c>
      <c r="J88" s="77">
        <f t="shared" si="37"/>
        <v>0</v>
      </c>
      <c r="K88" s="77">
        <f t="shared" si="37"/>
        <v>0</v>
      </c>
      <c r="L88" s="77">
        <f t="shared" si="37"/>
        <v>0</v>
      </c>
      <c r="M88" s="77">
        <f t="shared" si="37"/>
        <v>0</v>
      </c>
      <c r="N88" s="77">
        <f t="shared" si="37"/>
        <v>0</v>
      </c>
      <c r="O88" s="77">
        <f t="shared" si="37"/>
        <v>0</v>
      </c>
    </row>
    <row r="89" spans="1:20">
      <c r="A89" s="28">
        <v>33</v>
      </c>
      <c r="B89" s="13" t="str">
        <f t="shared" si="35"/>
        <v>Customer Fixed Cost Adjustment Revenue</v>
      </c>
      <c r="C89" s="28" t="str">
        <f t="shared" si="32"/>
        <v>(26) - (27) - (30) - (32)</v>
      </c>
      <c r="D89" s="77">
        <f>D82-D83-D86-D88</f>
        <v>10559.565795</v>
      </c>
      <c r="E89" s="77">
        <f t="shared" ref="E89:O89" si="38">E82-E83-E86-E88</f>
        <v>8052.4478099999997</v>
      </c>
      <c r="F89" s="77">
        <f t="shared" si="38"/>
        <v>10658.19377</v>
      </c>
      <c r="G89" s="77">
        <f t="shared" si="38"/>
        <v>0</v>
      </c>
      <c r="H89" s="77">
        <f t="shared" si="38"/>
        <v>0</v>
      </c>
      <c r="I89" s="77">
        <f t="shared" si="38"/>
        <v>0</v>
      </c>
      <c r="J89" s="77">
        <f t="shared" si="38"/>
        <v>0</v>
      </c>
      <c r="K89" s="77">
        <f t="shared" si="38"/>
        <v>0</v>
      </c>
      <c r="L89" s="77">
        <f t="shared" si="38"/>
        <v>0</v>
      </c>
      <c r="M89" s="77">
        <f t="shared" si="38"/>
        <v>0</v>
      </c>
      <c r="N89" s="77">
        <f t="shared" si="38"/>
        <v>0</v>
      </c>
      <c r="O89" s="77">
        <f t="shared" si="38"/>
        <v>0</v>
      </c>
      <c r="P89" s="30">
        <f>SUM(D89:F89)</f>
        <v>29270.207374999998</v>
      </c>
      <c r="Q89" s="30">
        <f>SUM(G89:I89)</f>
        <v>0</v>
      </c>
      <c r="R89" s="30">
        <f>SUM(J89:L89)</f>
        <v>0</v>
      </c>
      <c r="S89" s="30">
        <f>SUM(M89:O89)</f>
        <v>0</v>
      </c>
      <c r="T89" s="30">
        <f>SUM(D89:O89)</f>
        <v>29270.207374999998</v>
      </c>
    </row>
    <row r="90" spans="1:20">
      <c r="A90" s="28">
        <v>34</v>
      </c>
      <c r="B90" s="3" t="s">
        <v>27</v>
      </c>
      <c r="C90" s="28"/>
      <c r="D90" s="80">
        <f t="shared" ref="D90:O90" si="39">D89/D78</f>
        <v>586.64254416666665</v>
      </c>
      <c r="E90" s="80">
        <f t="shared" si="39"/>
        <v>473.67340058823527</v>
      </c>
      <c r="F90" s="80">
        <f t="shared" si="39"/>
        <v>592.12187611111108</v>
      </c>
      <c r="G90" s="80" t="e">
        <f t="shared" si="39"/>
        <v>#DIV/0!</v>
      </c>
      <c r="H90" s="80" t="e">
        <f t="shared" si="39"/>
        <v>#DIV/0!</v>
      </c>
      <c r="I90" s="80" t="e">
        <f t="shared" si="39"/>
        <v>#DIV/0!</v>
      </c>
      <c r="J90" s="80" t="e">
        <f t="shared" si="39"/>
        <v>#DIV/0!</v>
      </c>
      <c r="K90" s="80" t="e">
        <f t="shared" si="39"/>
        <v>#DIV/0!</v>
      </c>
      <c r="L90" s="80" t="e">
        <f t="shared" si="39"/>
        <v>#DIV/0!</v>
      </c>
      <c r="M90" s="80" t="e">
        <f t="shared" si="39"/>
        <v>#DIV/0!</v>
      </c>
      <c r="N90" s="80" t="e">
        <f t="shared" si="39"/>
        <v>#DIV/0!</v>
      </c>
      <c r="O90" s="80" t="e">
        <f t="shared" si="39"/>
        <v>#DIV/0!</v>
      </c>
      <c r="P90" s="67">
        <f>P89/P78</f>
        <v>552.2680636792453</v>
      </c>
      <c r="Q90" s="67" t="e">
        <f t="shared" ref="Q90:T90" si="40">Q89/Q78</f>
        <v>#DIV/0!</v>
      </c>
      <c r="R90" s="67" t="e">
        <f t="shared" si="40"/>
        <v>#DIV/0!</v>
      </c>
      <c r="S90" s="67" t="e">
        <f t="shared" si="40"/>
        <v>#DIV/0!</v>
      </c>
      <c r="T90" s="67">
        <f t="shared" si="40"/>
        <v>552.2680636792453</v>
      </c>
    </row>
    <row r="91" spans="1:20">
      <c r="A91" s="28">
        <v>35</v>
      </c>
      <c r="B91" s="13" t="str">
        <f t="shared" ref="B91" si="41">B45</f>
        <v>New Customer Deferral - Surcharge (Rebate)</v>
      </c>
      <c r="C91" s="28" t="str">
        <f t="shared" si="32"/>
        <v>(9) - (33)</v>
      </c>
      <c r="D91" s="77">
        <f t="shared" ref="D91:O91" si="42">D80-D89</f>
        <v>-2706.4669858521374</v>
      </c>
      <c r="E91" s="77">
        <f t="shared" si="42"/>
        <v>-1443.8056001319101</v>
      </c>
      <c r="F91" s="77">
        <f t="shared" si="42"/>
        <v>-4364.1353844851619</v>
      </c>
      <c r="G91" s="77">
        <f t="shared" si="42"/>
        <v>0</v>
      </c>
      <c r="H91" s="77">
        <f t="shared" si="42"/>
        <v>0</v>
      </c>
      <c r="I91" s="77">
        <f t="shared" si="42"/>
        <v>0</v>
      </c>
      <c r="J91" s="77">
        <f t="shared" si="42"/>
        <v>0</v>
      </c>
      <c r="K91" s="77">
        <f t="shared" si="42"/>
        <v>0</v>
      </c>
      <c r="L91" s="77">
        <f t="shared" si="42"/>
        <v>0</v>
      </c>
      <c r="M91" s="77">
        <f t="shared" si="42"/>
        <v>0</v>
      </c>
      <c r="N91" s="77">
        <f t="shared" si="42"/>
        <v>0</v>
      </c>
      <c r="O91" s="77">
        <f t="shared" si="42"/>
        <v>0</v>
      </c>
      <c r="P91" s="30">
        <f>SUM(D91:F91)</f>
        <v>-8514.4079704692085</v>
      </c>
      <c r="Q91" s="30">
        <f>SUM(G91:I91)</f>
        <v>0</v>
      </c>
      <c r="R91" s="30">
        <f>SUM(J91:L91)</f>
        <v>0</v>
      </c>
      <c r="S91" s="30">
        <f>SUM(M91:O91)</f>
        <v>0</v>
      </c>
      <c r="T91" s="30">
        <f>SUM(D91:O91)</f>
        <v>-8514.4079704692085</v>
      </c>
    </row>
    <row r="92" spans="1:20">
      <c r="A92" s="28">
        <v>36</v>
      </c>
      <c r="B92" s="13"/>
      <c r="C92" s="28"/>
      <c r="D92" s="77"/>
      <c r="E92" s="77"/>
      <c r="F92" s="77"/>
      <c r="G92" s="77"/>
      <c r="H92" s="77"/>
      <c r="I92" s="77"/>
      <c r="J92" s="77"/>
      <c r="K92" s="77"/>
      <c r="L92" s="77"/>
      <c r="M92" s="77"/>
      <c r="N92" s="77"/>
      <c r="O92" s="77"/>
    </row>
    <row r="93" spans="1:20">
      <c r="A93" s="82">
        <v>37</v>
      </c>
      <c r="B93" s="83" t="s">
        <v>96</v>
      </c>
      <c r="C93" s="82" t="str">
        <f t="shared" ref="C93:C96" si="43">C47</f>
        <v>(18) + (35)</v>
      </c>
      <c r="D93" s="84">
        <f>D74+D91</f>
        <v>24118.484170030657</v>
      </c>
      <c r="E93" s="84">
        <f>E74+E91</f>
        <v>70256.433269359244</v>
      </c>
      <c r="F93" s="84">
        <f t="shared" ref="F93:O93" si="44">F74+F91</f>
        <v>74630.616437763645</v>
      </c>
      <c r="G93" s="84">
        <f t="shared" si="44"/>
        <v>0</v>
      </c>
      <c r="H93" s="84">
        <f t="shared" si="44"/>
        <v>0</v>
      </c>
      <c r="I93" s="84">
        <f t="shared" si="44"/>
        <v>0</v>
      </c>
      <c r="J93" s="84">
        <f t="shared" si="44"/>
        <v>0</v>
      </c>
      <c r="K93" s="84">
        <f t="shared" si="44"/>
        <v>0</v>
      </c>
      <c r="L93" s="84">
        <f t="shared" si="44"/>
        <v>0</v>
      </c>
      <c r="M93" s="84">
        <f t="shared" si="44"/>
        <v>0</v>
      </c>
      <c r="N93" s="84">
        <f t="shared" si="44"/>
        <v>0</v>
      </c>
      <c r="O93" s="84">
        <f t="shared" si="44"/>
        <v>0</v>
      </c>
      <c r="P93" s="84">
        <f>SUM(D93:F93)</f>
        <v>169005.53387715353</v>
      </c>
      <c r="Q93" s="84">
        <f>SUM(G93:I93)</f>
        <v>0</v>
      </c>
      <c r="R93" s="84">
        <f>SUM(J93:L93)</f>
        <v>0</v>
      </c>
      <c r="S93" s="84">
        <f>SUM(M93:O93)</f>
        <v>0</v>
      </c>
      <c r="T93" s="84">
        <f>SUM(D93:O93)</f>
        <v>169005.53387715353</v>
      </c>
    </row>
    <row r="94" spans="1:20">
      <c r="A94" s="82">
        <v>38</v>
      </c>
      <c r="B94" s="83" t="str">
        <f t="shared" ref="B94" si="45">B48</f>
        <v>Deferral - Revenue Related Expenses</v>
      </c>
      <c r="C94" s="82" t="str">
        <f t="shared" si="43"/>
        <v>Rev Conv Factor</v>
      </c>
      <c r="D94" s="84">
        <f>D74*-0.005778</f>
        <v>-154.99456777869079</v>
      </c>
      <c r="E94" s="84">
        <f t="shared" ref="E94:O94" si="46">E74*-0.005778</f>
        <v>-414.28398018791989</v>
      </c>
      <c r="F94" s="84">
        <f t="shared" si="46"/>
        <v>-456.43167602895358</v>
      </c>
      <c r="G94" s="84">
        <f t="shared" si="46"/>
        <v>0</v>
      </c>
      <c r="H94" s="84">
        <f t="shared" si="46"/>
        <v>0</v>
      </c>
      <c r="I94" s="84">
        <f t="shared" si="46"/>
        <v>0</v>
      </c>
      <c r="J94" s="84">
        <f t="shared" si="46"/>
        <v>0</v>
      </c>
      <c r="K94" s="84">
        <f t="shared" si="46"/>
        <v>0</v>
      </c>
      <c r="L94" s="84">
        <f t="shared" si="46"/>
        <v>0</v>
      </c>
      <c r="M94" s="84">
        <f t="shared" si="46"/>
        <v>0</v>
      </c>
      <c r="N94" s="84">
        <f t="shared" si="46"/>
        <v>0</v>
      </c>
      <c r="O94" s="84">
        <f t="shared" si="46"/>
        <v>0</v>
      </c>
      <c r="P94" s="84">
        <f>SUM(D94:F94)</f>
        <v>-1025.7102239955643</v>
      </c>
      <c r="Q94" s="84">
        <f>SUM(G94:I94)</f>
        <v>0</v>
      </c>
      <c r="R94" s="84">
        <f>SUM(J94:L94)</f>
        <v>0</v>
      </c>
      <c r="S94" s="84">
        <f>SUM(M94:O94)</f>
        <v>0</v>
      </c>
      <c r="T94" s="84">
        <f>SUM(D94:O94)</f>
        <v>-1025.7102239955643</v>
      </c>
    </row>
    <row r="95" spans="1:20">
      <c r="A95" s="28">
        <v>39</v>
      </c>
      <c r="B95" s="13"/>
      <c r="C95" s="3" t="str">
        <f t="shared" si="43"/>
        <v>Customer Deposit Rate</v>
      </c>
      <c r="D95" s="87">
        <v>0.01</v>
      </c>
      <c r="E95" s="87">
        <f t="shared" ref="E95:O95" si="47">D95</f>
        <v>0.01</v>
      </c>
      <c r="F95" s="87">
        <f t="shared" si="47"/>
        <v>0.01</v>
      </c>
      <c r="G95" s="87">
        <v>0</v>
      </c>
      <c r="H95" s="87">
        <f t="shared" si="47"/>
        <v>0</v>
      </c>
      <c r="I95" s="87">
        <f t="shared" si="47"/>
        <v>0</v>
      </c>
      <c r="J95" s="87">
        <f t="shared" si="47"/>
        <v>0</v>
      </c>
      <c r="K95" s="87">
        <f t="shared" si="47"/>
        <v>0</v>
      </c>
      <c r="L95" s="87">
        <f t="shared" si="47"/>
        <v>0</v>
      </c>
      <c r="M95" s="87">
        <f t="shared" si="47"/>
        <v>0</v>
      </c>
      <c r="N95" s="87">
        <f t="shared" si="47"/>
        <v>0</v>
      </c>
      <c r="O95" s="87">
        <f t="shared" si="47"/>
        <v>0</v>
      </c>
    </row>
    <row r="96" spans="1:20">
      <c r="A96" s="82">
        <v>40</v>
      </c>
      <c r="B96" s="83" t="str">
        <f>B50</f>
        <v>Interest on Deferral</v>
      </c>
      <c r="C96" s="82" t="str">
        <f t="shared" si="43"/>
        <v>Avg Balance Calc</v>
      </c>
      <c r="D96" s="88">
        <f>(D93+D94)/2*D95/12</f>
        <v>9.9847873342716529</v>
      </c>
      <c r="E96" s="88">
        <f>(D99+(E93+E94)/2)*E95/12</f>
        <v>49.078790861809921</v>
      </c>
      <c r="F96" s="88">
        <f t="shared" ref="F96:O96" si="48">(E99+(F93+F94)/2)*F95/12</f>
        <v>109.12649570873891</v>
      </c>
      <c r="G96" s="88">
        <f t="shared" si="48"/>
        <v>0</v>
      </c>
      <c r="H96" s="88">
        <f t="shared" si="48"/>
        <v>0</v>
      </c>
      <c r="I96" s="88">
        <f t="shared" si="48"/>
        <v>0</v>
      </c>
      <c r="J96" s="88">
        <f t="shared" si="48"/>
        <v>0</v>
      </c>
      <c r="K96" s="88">
        <f t="shared" si="48"/>
        <v>0</v>
      </c>
      <c r="L96" s="88">
        <f t="shared" si="48"/>
        <v>0</v>
      </c>
      <c r="M96" s="88">
        <f t="shared" si="48"/>
        <v>0</v>
      </c>
      <c r="N96" s="88">
        <f t="shared" si="48"/>
        <v>0</v>
      </c>
      <c r="O96" s="88">
        <f t="shared" si="48"/>
        <v>0</v>
      </c>
      <c r="P96" s="88">
        <f>SUM(D96:F96)</f>
        <v>168.19007390482048</v>
      </c>
      <c r="Q96" s="88">
        <f>SUM(G96:I96)</f>
        <v>0</v>
      </c>
      <c r="R96" s="88">
        <f>SUM(J96:L96)</f>
        <v>0</v>
      </c>
      <c r="S96" s="88">
        <f>SUM(M96:O96)</f>
        <v>0</v>
      </c>
      <c r="T96" s="88">
        <f>SUM(D96:O96)</f>
        <v>168.19007390482048</v>
      </c>
    </row>
    <row r="97" spans="1:20">
      <c r="A97" s="89">
        <v>41</v>
      </c>
      <c r="B97" s="90" t="s">
        <v>29</v>
      </c>
      <c r="C97" s="89"/>
      <c r="D97" s="92">
        <f>D93+D94+D96</f>
        <v>23973.474389586241</v>
      </c>
      <c r="E97" s="92">
        <f>E93+E94+E96</f>
        <v>69891.228080033135</v>
      </c>
      <c r="F97" s="92">
        <f t="shared" ref="F97:T97" si="49">F93+F94+F96</f>
        <v>74283.311257443434</v>
      </c>
      <c r="G97" s="92">
        <f t="shared" si="49"/>
        <v>0</v>
      </c>
      <c r="H97" s="92">
        <f t="shared" si="49"/>
        <v>0</v>
      </c>
      <c r="I97" s="92">
        <f t="shared" si="49"/>
        <v>0</v>
      </c>
      <c r="J97" s="92">
        <f t="shared" si="49"/>
        <v>0</v>
      </c>
      <c r="K97" s="92">
        <f t="shared" si="49"/>
        <v>0</v>
      </c>
      <c r="L97" s="92">
        <f t="shared" si="49"/>
        <v>0</v>
      </c>
      <c r="M97" s="92">
        <f t="shared" si="49"/>
        <v>0</v>
      </c>
      <c r="N97" s="92">
        <f t="shared" si="49"/>
        <v>0</v>
      </c>
      <c r="O97" s="92">
        <f t="shared" si="49"/>
        <v>0</v>
      </c>
      <c r="P97" s="92">
        <f t="shared" si="49"/>
        <v>168148.01372706279</v>
      </c>
      <c r="Q97" s="92">
        <f t="shared" si="49"/>
        <v>0</v>
      </c>
      <c r="R97" s="92">
        <f t="shared" si="49"/>
        <v>0</v>
      </c>
      <c r="S97" s="92">
        <f t="shared" si="49"/>
        <v>0</v>
      </c>
      <c r="T97" s="92">
        <f t="shared" si="49"/>
        <v>168148.01372706279</v>
      </c>
    </row>
    <row r="98" spans="1:20">
      <c r="A98" s="28">
        <v>42</v>
      </c>
      <c r="B98" s="13"/>
      <c r="C98" s="28"/>
      <c r="D98" s="78"/>
      <c r="E98" s="78"/>
      <c r="F98" s="78"/>
      <c r="G98" s="78"/>
      <c r="H98" s="78"/>
      <c r="I98" s="78"/>
      <c r="J98" s="78"/>
      <c r="K98" s="78"/>
      <c r="L98" s="78"/>
      <c r="M98" s="78"/>
      <c r="N98" s="78"/>
      <c r="O98" s="78"/>
    </row>
    <row r="99" spans="1:20" ht="26.25">
      <c r="A99" s="74">
        <v>43</v>
      </c>
      <c r="B99" s="97" t="s">
        <v>97</v>
      </c>
      <c r="C99" s="74" t="str">
        <f t="shared" ref="C99" si="50">C53</f>
        <v>Σ((37), (38), (40))</v>
      </c>
      <c r="D99" s="98">
        <f>D93+D94+D96</f>
        <v>23973.474389586241</v>
      </c>
      <c r="E99" s="98">
        <f>D99+E93+E94+E96</f>
        <v>93864.702469619369</v>
      </c>
      <c r="F99" s="98">
        <f t="shared" ref="F99:N99" si="51">E99+F93+F94+F96</f>
        <v>168148.01372706279</v>
      </c>
      <c r="G99" s="98">
        <f t="shared" si="51"/>
        <v>168148.01372706279</v>
      </c>
      <c r="H99" s="98">
        <f t="shared" si="51"/>
        <v>168148.01372706279</v>
      </c>
      <c r="I99" s="98">
        <f t="shared" si="51"/>
        <v>168148.01372706279</v>
      </c>
      <c r="J99" s="98">
        <f t="shared" si="51"/>
        <v>168148.01372706279</v>
      </c>
      <c r="K99" s="98">
        <f t="shared" si="51"/>
        <v>168148.01372706279</v>
      </c>
      <c r="L99" s="98">
        <f t="shared" si="51"/>
        <v>168148.01372706279</v>
      </c>
      <c r="M99" s="98">
        <f t="shared" si="51"/>
        <v>168148.01372706279</v>
      </c>
      <c r="N99" s="98">
        <f t="shared" si="51"/>
        <v>168148.01372706279</v>
      </c>
      <c r="O99" s="98">
        <f>N99+O93+O94+O96</f>
        <v>168148.01372706279</v>
      </c>
    </row>
    <row r="100" spans="1:20" ht="14.45" customHeight="1">
      <c r="A100" s="28"/>
      <c r="B100" s="13"/>
      <c r="C100" s="74"/>
      <c r="D100" s="98"/>
      <c r="E100" s="98"/>
      <c r="F100" s="98"/>
      <c r="G100" s="98"/>
      <c r="H100" s="98"/>
      <c r="I100" s="98"/>
      <c r="J100" s="98"/>
      <c r="K100" s="98"/>
      <c r="L100" s="98"/>
      <c r="M100" s="98"/>
      <c r="N100" s="98"/>
      <c r="O100" s="98"/>
    </row>
    <row r="101" spans="1:20" ht="26.25">
      <c r="A101" s="74">
        <v>44</v>
      </c>
      <c r="B101" s="99" t="s">
        <v>98</v>
      </c>
      <c r="C101" s="64" t="str">
        <f>"Res line("&amp;A$53&amp;") +Non-Res line ("&amp;A99&amp;")"</f>
        <v>Res line(43) +Non-Res line (43)</v>
      </c>
      <c r="D101" s="100">
        <f>D53+D99</f>
        <v>153299.59254047176</v>
      </c>
      <c r="E101" s="100">
        <f>E53+E99</f>
        <v>950421.02141359798</v>
      </c>
      <c r="F101" s="100">
        <f t="shared" ref="F101:O101" si="52">F53+F99</f>
        <v>1538999.7572616776</v>
      </c>
      <c r="G101" s="100">
        <f t="shared" si="52"/>
        <v>1538999.7572616776</v>
      </c>
      <c r="H101" s="100">
        <f t="shared" si="52"/>
        <v>1538999.7572616776</v>
      </c>
      <c r="I101" s="100">
        <f t="shared" si="52"/>
        <v>1538999.7572616776</v>
      </c>
      <c r="J101" s="100">
        <f t="shared" si="52"/>
        <v>1538999.7572616776</v>
      </c>
      <c r="K101" s="100">
        <f t="shared" si="52"/>
        <v>1538999.7572616776</v>
      </c>
      <c r="L101" s="100">
        <f t="shared" si="52"/>
        <v>1538999.7572616776</v>
      </c>
      <c r="M101" s="100">
        <f t="shared" si="52"/>
        <v>1538999.7572616776</v>
      </c>
      <c r="N101" s="100">
        <f t="shared" si="52"/>
        <v>1538999.7572616776</v>
      </c>
      <c r="O101" s="100">
        <f t="shared" si="52"/>
        <v>1538999.7572616776</v>
      </c>
    </row>
  </sheetData>
  <pageMargins left="0.7" right="0.7" top="0.75" bottom="0.75" header="0.3" footer="0.3"/>
  <pageSetup scale="79" firstPageNumber="6" orientation="portrait" useFirstPageNumber="1" r:id="rId1"/>
  <headerFooter>
    <oddHeader>&amp;CAvista Corporation Fixed Cost Adjustment Mechanism
Idaho Jurisdiction
Quarterly Report for 1st Quarter 2016</oddHeader>
    <oddFooter>&amp;C&amp;F / &amp;A&amp;RPage &amp;P of ?</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6"/>
  <sheetViews>
    <sheetView zoomScaleNormal="100" zoomScaleSheetLayoutView="82" workbookViewId="0">
      <selection activeCell="B35" sqref="B35"/>
    </sheetView>
  </sheetViews>
  <sheetFormatPr defaultRowHeight="15"/>
  <cols>
    <col min="1" max="1" width="7.28515625" customWidth="1"/>
    <col min="2" max="2" width="36.140625" customWidth="1"/>
    <col min="3" max="3" width="6.28515625" customWidth="1"/>
    <col min="4" max="6" width="13.140625" customWidth="1"/>
    <col min="7" max="7" width="13.42578125" customWidth="1"/>
    <col min="8" max="8" width="10.140625" bestFit="1" customWidth="1"/>
    <col min="9" max="10" width="14" bestFit="1" customWidth="1"/>
    <col min="11" max="11" width="11.140625" bestFit="1" customWidth="1"/>
    <col min="12" max="13" width="11.42578125" customWidth="1"/>
  </cols>
  <sheetData>
    <row r="1" spans="1:9" ht="15.75">
      <c r="A1" s="228" t="s">
        <v>31</v>
      </c>
      <c r="B1" s="228"/>
      <c r="C1" s="228"/>
      <c r="D1" s="228"/>
      <c r="E1" s="228"/>
      <c r="F1" s="228"/>
      <c r="G1" s="228"/>
    </row>
    <row r="3" spans="1:9">
      <c r="A3" s="15" t="s">
        <v>111</v>
      </c>
      <c r="B3" s="31"/>
      <c r="C3" s="142" t="s">
        <v>112</v>
      </c>
      <c r="D3" s="31"/>
      <c r="E3" s="180"/>
      <c r="F3" s="180"/>
      <c r="G3" s="180"/>
    </row>
    <row r="4" spans="1:9" ht="17.100000000000001" customHeight="1">
      <c r="A4" s="31"/>
      <c r="B4" s="31"/>
      <c r="C4" s="31"/>
      <c r="D4" s="31"/>
      <c r="E4" s="181"/>
      <c r="F4" s="181"/>
      <c r="G4" s="181"/>
    </row>
    <row r="5" spans="1:9" ht="26.25">
      <c r="A5" s="44" t="s">
        <v>32</v>
      </c>
      <c r="B5" s="45" t="s">
        <v>33</v>
      </c>
      <c r="C5" s="146" t="s">
        <v>34</v>
      </c>
      <c r="D5" s="44" t="s">
        <v>35</v>
      </c>
      <c r="E5" s="44" t="s">
        <v>36</v>
      </c>
      <c r="F5" s="44" t="s">
        <v>37</v>
      </c>
      <c r="G5" s="44" t="s">
        <v>38</v>
      </c>
    </row>
    <row r="6" spans="1:9" ht="14.45" customHeight="1">
      <c r="A6" s="147" t="s">
        <v>39</v>
      </c>
      <c r="B6" s="148" t="s">
        <v>40</v>
      </c>
      <c r="C6" s="149" t="s">
        <v>41</v>
      </c>
      <c r="D6" s="150" t="s">
        <v>161</v>
      </c>
      <c r="E6" s="151">
        <v>-1512764.25</v>
      </c>
      <c r="F6" s="152">
        <v>76791.490000000005</v>
      </c>
      <c r="G6" s="151">
        <v>-1435972.76</v>
      </c>
      <c r="I6" s="126"/>
    </row>
    <row r="7" spans="1:9">
      <c r="A7" s="153"/>
      <c r="B7" s="148" t="s">
        <v>40</v>
      </c>
      <c r="C7" s="154"/>
      <c r="D7" s="150" t="s">
        <v>162</v>
      </c>
      <c r="E7" s="151">
        <v>-1435972.76</v>
      </c>
      <c r="F7" s="152">
        <v>-969906.54</v>
      </c>
      <c r="G7" s="151">
        <v>-2405879.2999999998</v>
      </c>
      <c r="I7" s="126"/>
    </row>
    <row r="8" spans="1:9">
      <c r="A8" s="153"/>
      <c r="B8" s="148" t="s">
        <v>40</v>
      </c>
      <c r="C8" s="155"/>
      <c r="D8" s="150" t="s">
        <v>163</v>
      </c>
      <c r="E8" s="151">
        <v>-2405879.2999999998</v>
      </c>
      <c r="F8" s="152">
        <v>-235813.09</v>
      </c>
      <c r="G8" s="151">
        <v>-2641692.39</v>
      </c>
      <c r="H8" s="118"/>
      <c r="I8" s="126"/>
    </row>
    <row r="9" spans="1:9">
      <c r="A9" s="153"/>
      <c r="B9" s="37"/>
      <c r="C9" s="156"/>
      <c r="D9" s="37"/>
      <c r="E9" s="39"/>
      <c r="F9" s="40">
        <f>SUM(F6:F8)</f>
        <v>-1128928.1400000001</v>
      </c>
      <c r="G9" s="39"/>
    </row>
    <row r="10" spans="1:9">
      <c r="A10" s="153"/>
      <c r="B10" s="148" t="s">
        <v>40</v>
      </c>
      <c r="C10" s="149" t="s">
        <v>42</v>
      </c>
      <c r="D10" s="150" t="s">
        <v>161</v>
      </c>
      <c r="E10" s="151">
        <v>494392.54</v>
      </c>
      <c r="F10" s="152">
        <v>-563834.79</v>
      </c>
      <c r="G10" s="151">
        <v>-69442.25</v>
      </c>
      <c r="I10" s="126"/>
    </row>
    <row r="11" spans="1:9">
      <c r="A11" s="153"/>
      <c r="B11" s="148" t="s">
        <v>40</v>
      </c>
      <c r="C11" s="154"/>
      <c r="D11" s="150" t="s">
        <v>162</v>
      </c>
      <c r="E11" s="151">
        <v>-69442.25</v>
      </c>
      <c r="F11" s="152">
        <v>-523237.22</v>
      </c>
      <c r="G11" s="151">
        <v>-592679.47</v>
      </c>
      <c r="I11" s="126"/>
    </row>
    <row r="12" spans="1:9">
      <c r="A12" s="153"/>
      <c r="B12" s="148" t="s">
        <v>40</v>
      </c>
      <c r="C12" s="155"/>
      <c r="D12" s="150" t="s">
        <v>163</v>
      </c>
      <c r="E12" s="151">
        <v>-592679.47</v>
      </c>
      <c r="F12" s="152">
        <v>-224886.97</v>
      </c>
      <c r="G12" s="151">
        <v>-817566.44</v>
      </c>
      <c r="I12" s="126"/>
    </row>
    <row r="13" spans="1:9">
      <c r="A13" s="157"/>
      <c r="B13" s="37"/>
      <c r="C13" s="158"/>
      <c r="D13" s="37"/>
      <c r="E13" s="39"/>
      <c r="F13" s="40">
        <f>SUM(F10:F12)</f>
        <v>-1311958.98</v>
      </c>
      <c r="G13" s="39"/>
      <c r="I13" s="118"/>
    </row>
    <row r="14" spans="1:9" ht="14.45" customHeight="1">
      <c r="A14" s="41"/>
      <c r="B14" s="159"/>
      <c r="C14" s="41"/>
      <c r="D14" s="41"/>
      <c r="E14" s="42"/>
      <c r="F14" s="43">
        <f>F9+F13</f>
        <v>-2440887.12</v>
      </c>
      <c r="G14" s="42"/>
    </row>
    <row r="15" spans="1:9" ht="14.45" customHeight="1">
      <c r="A15" s="147" t="s">
        <v>43</v>
      </c>
      <c r="B15" s="148" t="s">
        <v>44</v>
      </c>
      <c r="C15" s="160" t="s">
        <v>41</v>
      </c>
      <c r="D15" s="150" t="s">
        <v>161</v>
      </c>
      <c r="E15" s="151">
        <v>-277178.5</v>
      </c>
      <c r="F15" s="152">
        <v>56231.02</v>
      </c>
      <c r="G15" s="151">
        <v>-220947.48</v>
      </c>
      <c r="I15" s="126"/>
    </row>
    <row r="16" spans="1:9">
      <c r="A16" s="153"/>
      <c r="B16" s="148" t="s">
        <v>44</v>
      </c>
      <c r="C16" s="161"/>
      <c r="D16" s="150" t="s">
        <v>162</v>
      </c>
      <c r="E16" s="151">
        <v>-220947.48</v>
      </c>
      <c r="F16" s="152">
        <v>156277.92000000001</v>
      </c>
      <c r="G16" s="151">
        <v>-64669.56</v>
      </c>
      <c r="I16" s="126"/>
    </row>
    <row r="17" spans="1:9">
      <c r="A17" s="153"/>
      <c r="B17" s="148" t="s">
        <v>44</v>
      </c>
      <c r="C17" s="162"/>
      <c r="D17" s="150" t="s">
        <v>163</v>
      </c>
      <c r="E17" s="151">
        <v>-64669.56</v>
      </c>
      <c r="F17" s="152">
        <v>-508936.31</v>
      </c>
      <c r="G17" s="151">
        <v>-573605.87</v>
      </c>
      <c r="I17" s="126"/>
    </row>
    <row r="18" spans="1:9">
      <c r="A18" s="153"/>
      <c r="B18" s="37"/>
      <c r="C18" s="38"/>
      <c r="D18" s="37"/>
      <c r="E18" s="39"/>
      <c r="F18" s="40">
        <f>SUM(F15:F17)</f>
        <v>-296427.37</v>
      </c>
      <c r="G18" s="39"/>
    </row>
    <row r="19" spans="1:9">
      <c r="A19" s="153"/>
      <c r="B19" s="148" t="s">
        <v>44</v>
      </c>
      <c r="C19" s="160" t="s">
        <v>42</v>
      </c>
      <c r="D19" s="150" t="s">
        <v>161</v>
      </c>
      <c r="E19" s="151">
        <v>375099.46</v>
      </c>
      <c r="F19" s="152">
        <v>-391254.33</v>
      </c>
      <c r="G19" s="151">
        <v>-16154.87</v>
      </c>
      <c r="I19" s="126"/>
    </row>
    <row r="20" spans="1:9">
      <c r="A20" s="153"/>
      <c r="B20" s="148" t="s">
        <v>44</v>
      </c>
      <c r="C20" s="161"/>
      <c r="D20" s="150" t="s">
        <v>162</v>
      </c>
      <c r="E20" s="151">
        <v>-16154.87</v>
      </c>
      <c r="F20" s="152">
        <v>-109167.82</v>
      </c>
      <c r="G20" s="151">
        <v>-125322.69</v>
      </c>
      <c r="I20" s="126"/>
    </row>
    <row r="21" spans="1:9">
      <c r="A21" s="153"/>
      <c r="B21" s="148" t="s">
        <v>44</v>
      </c>
      <c r="C21" s="162"/>
      <c r="D21" s="150" t="s">
        <v>163</v>
      </c>
      <c r="E21" s="151">
        <v>-125322.69</v>
      </c>
      <c r="F21" s="152">
        <v>-130957.05</v>
      </c>
      <c r="G21" s="151">
        <v>-256279.74</v>
      </c>
      <c r="I21" s="126"/>
    </row>
    <row r="22" spans="1:9">
      <c r="A22" s="157"/>
      <c r="B22" s="37"/>
      <c r="C22" s="38"/>
      <c r="D22" s="37"/>
      <c r="E22" s="39"/>
      <c r="F22" s="40">
        <f>SUM(F19:F21)</f>
        <v>-631379.20000000007</v>
      </c>
      <c r="G22" s="39"/>
    </row>
    <row r="23" spans="1:9">
      <c r="A23" s="41"/>
      <c r="B23" s="159"/>
      <c r="C23" s="41"/>
      <c r="D23" s="41"/>
      <c r="E23" s="42"/>
      <c r="F23" s="43">
        <f>F18+F22</f>
        <v>-927806.57000000007</v>
      </c>
      <c r="G23" s="42"/>
    </row>
    <row r="24" spans="1:9">
      <c r="A24" s="163"/>
      <c r="B24" s="163"/>
      <c r="C24" s="163"/>
      <c r="D24" s="163"/>
      <c r="E24" s="164"/>
      <c r="F24" s="165"/>
      <c r="G24" s="164"/>
    </row>
    <row r="25" spans="1:9" s="31" customFormat="1">
      <c r="A25" s="166" t="s">
        <v>111</v>
      </c>
      <c r="B25" s="163"/>
      <c r="C25" s="167" t="s">
        <v>131</v>
      </c>
      <c r="D25" s="163"/>
      <c r="E25" s="164"/>
      <c r="F25" s="165"/>
      <c r="G25" s="164"/>
    </row>
    <row r="26" spans="1:9" s="31" customFormat="1">
      <c r="A26" s="163"/>
      <c r="B26" s="163"/>
      <c r="C26" s="163"/>
      <c r="D26" s="163"/>
      <c r="E26" s="164"/>
      <c r="F26" s="165"/>
      <c r="G26" s="164"/>
    </row>
    <row r="27" spans="1:9" s="31" customFormat="1" ht="26.25">
      <c r="A27" s="44" t="s">
        <v>32</v>
      </c>
      <c r="B27" s="45" t="s">
        <v>33</v>
      </c>
      <c r="C27" s="146" t="s">
        <v>34</v>
      </c>
      <c r="D27" s="44" t="s">
        <v>35</v>
      </c>
      <c r="E27" s="44" t="s">
        <v>36</v>
      </c>
      <c r="F27" s="44" t="s">
        <v>37</v>
      </c>
      <c r="G27" s="44" t="s">
        <v>38</v>
      </c>
    </row>
    <row r="28" spans="1:9" s="31" customFormat="1">
      <c r="A28" s="147" t="s">
        <v>127</v>
      </c>
      <c r="B28" s="148" t="s">
        <v>128</v>
      </c>
      <c r="C28" s="149" t="s">
        <v>41</v>
      </c>
      <c r="D28" s="150" t="s">
        <v>161</v>
      </c>
      <c r="E28" s="151">
        <v>0</v>
      </c>
      <c r="F28" s="152">
        <v>-1514024.89</v>
      </c>
      <c r="G28" s="151">
        <v>-1514024.89</v>
      </c>
    </row>
    <row r="29" spans="1:9" s="31" customFormat="1">
      <c r="A29" s="153"/>
      <c r="B29" s="148" t="s">
        <v>128</v>
      </c>
      <c r="C29" s="154"/>
      <c r="D29" s="150" t="s">
        <v>162</v>
      </c>
      <c r="E29" s="151">
        <v>-1514024.89</v>
      </c>
      <c r="F29" s="152">
        <v>-1261.69</v>
      </c>
      <c r="G29" s="151">
        <v>-1515286.58</v>
      </c>
    </row>
    <row r="30" spans="1:9" s="31" customFormat="1">
      <c r="A30" s="153"/>
      <c r="B30" s="148" t="s">
        <v>128</v>
      </c>
      <c r="C30" s="155"/>
      <c r="D30" s="150" t="s">
        <v>163</v>
      </c>
      <c r="E30" s="151">
        <v>-1515286.58</v>
      </c>
      <c r="F30" s="152">
        <v>-1262.74</v>
      </c>
      <c r="G30" s="151">
        <v>-1516549.32</v>
      </c>
    </row>
    <row r="31" spans="1:9" s="31" customFormat="1">
      <c r="A31" s="153"/>
      <c r="B31" s="37"/>
      <c r="C31" s="156"/>
      <c r="D31" s="37"/>
      <c r="E31" s="39"/>
      <c r="F31" s="40">
        <f>SUM(F28:F30)</f>
        <v>-1516549.3199999998</v>
      </c>
      <c r="G31" s="39"/>
    </row>
    <row r="32" spans="1:9" s="31" customFormat="1">
      <c r="A32" s="153"/>
      <c r="B32" s="148" t="s">
        <v>128</v>
      </c>
      <c r="C32" s="149" t="s">
        <v>42</v>
      </c>
      <c r="D32" s="150" t="s">
        <v>161</v>
      </c>
      <c r="E32" s="151">
        <v>0</v>
      </c>
      <c r="F32" s="152">
        <v>495074.05</v>
      </c>
      <c r="G32" s="151">
        <v>495074.05</v>
      </c>
    </row>
    <row r="33" spans="1:7" s="31" customFormat="1">
      <c r="A33" s="153"/>
      <c r="B33" s="148" t="s">
        <v>128</v>
      </c>
      <c r="C33" s="154"/>
      <c r="D33" s="150" t="s">
        <v>162</v>
      </c>
      <c r="E33" s="151">
        <v>495074.05</v>
      </c>
      <c r="F33" s="152">
        <v>647788.9</v>
      </c>
      <c r="G33" s="151">
        <v>1142862.95</v>
      </c>
    </row>
    <row r="34" spans="1:7" s="31" customFormat="1">
      <c r="A34" s="153"/>
      <c r="B34" s="148" t="s">
        <v>128</v>
      </c>
      <c r="C34" s="155"/>
      <c r="D34" s="150" t="s">
        <v>163</v>
      </c>
      <c r="E34" s="151">
        <v>1142862.95</v>
      </c>
      <c r="F34" s="152">
        <v>1492.89</v>
      </c>
      <c r="G34" s="151">
        <v>1144355.8400000001</v>
      </c>
    </row>
    <row r="35" spans="1:7" s="31" customFormat="1">
      <c r="A35" s="157"/>
      <c r="B35" s="37"/>
      <c r="C35" s="158"/>
      <c r="D35" s="37"/>
      <c r="E35" s="39"/>
      <c r="F35" s="40">
        <f>SUM(F32:F34)</f>
        <v>1144355.8399999999</v>
      </c>
      <c r="G35" s="39"/>
    </row>
    <row r="36" spans="1:7" s="31" customFormat="1">
      <c r="A36" s="41"/>
      <c r="B36" s="159"/>
      <c r="C36" s="41"/>
      <c r="D36" s="41"/>
      <c r="E36" s="42"/>
      <c r="F36" s="43">
        <f>F31+F35</f>
        <v>-372193.48</v>
      </c>
      <c r="G36" s="42"/>
    </row>
    <row r="37" spans="1:7" s="31" customFormat="1">
      <c r="A37" s="147" t="s">
        <v>129</v>
      </c>
      <c r="B37" s="148" t="s">
        <v>130</v>
      </c>
      <c r="C37" s="160" t="s">
        <v>41</v>
      </c>
      <c r="D37" s="150" t="s">
        <v>161</v>
      </c>
      <c r="E37" s="151">
        <v>0</v>
      </c>
      <c r="F37" s="152">
        <v>-277409.48</v>
      </c>
      <c r="G37" s="151">
        <v>-277409.48</v>
      </c>
    </row>
    <row r="38" spans="1:7" s="31" customFormat="1">
      <c r="A38" s="153"/>
      <c r="B38" s="148" t="s">
        <v>130</v>
      </c>
      <c r="C38" s="161"/>
      <c r="D38" s="150" t="s">
        <v>162</v>
      </c>
      <c r="E38" s="151">
        <v>-277409.48</v>
      </c>
      <c r="F38" s="152">
        <v>-231.17</v>
      </c>
      <c r="G38" s="151">
        <v>-277640.65000000002</v>
      </c>
    </row>
    <row r="39" spans="1:7" s="31" customFormat="1">
      <c r="A39" s="153"/>
      <c r="B39" s="148" t="s">
        <v>130</v>
      </c>
      <c r="C39" s="162"/>
      <c r="D39" s="150" t="s">
        <v>163</v>
      </c>
      <c r="E39" s="151">
        <v>-277640.65000000002</v>
      </c>
      <c r="F39" s="152">
        <v>-231.37</v>
      </c>
      <c r="G39" s="151">
        <v>-277872.02</v>
      </c>
    </row>
    <row r="40" spans="1:7" s="31" customFormat="1">
      <c r="A40" s="153"/>
      <c r="B40" s="37"/>
      <c r="C40" s="38"/>
      <c r="D40" s="37"/>
      <c r="E40" s="39"/>
      <c r="F40" s="40">
        <f>SUM(F37:F39)</f>
        <v>-277872.01999999996</v>
      </c>
      <c r="G40" s="39"/>
    </row>
    <row r="41" spans="1:7" s="31" customFormat="1">
      <c r="A41" s="153"/>
      <c r="B41" s="148" t="s">
        <v>130</v>
      </c>
      <c r="C41" s="160" t="s">
        <v>42</v>
      </c>
      <c r="D41" s="150" t="s">
        <v>161</v>
      </c>
      <c r="E41" s="151">
        <v>0</v>
      </c>
      <c r="F41" s="152">
        <v>375477.72</v>
      </c>
      <c r="G41" s="151">
        <v>375477.72</v>
      </c>
    </row>
    <row r="42" spans="1:7" s="31" customFormat="1">
      <c r="A42" s="153"/>
      <c r="B42" s="148" t="s">
        <v>130</v>
      </c>
      <c r="C42" s="161"/>
      <c r="D42" s="150" t="s">
        <v>162</v>
      </c>
      <c r="E42" s="151">
        <v>375477.72</v>
      </c>
      <c r="F42" s="152">
        <v>158079.49</v>
      </c>
      <c r="G42" s="151">
        <v>533557.21</v>
      </c>
    </row>
    <row r="43" spans="1:7" s="31" customFormat="1">
      <c r="A43" s="153"/>
      <c r="B43" s="148" t="s">
        <v>130</v>
      </c>
      <c r="C43" s="162"/>
      <c r="D43" s="150" t="s">
        <v>163</v>
      </c>
      <c r="E43" s="151">
        <v>533557.21</v>
      </c>
      <c r="F43" s="152">
        <v>576.53</v>
      </c>
      <c r="G43" s="151">
        <v>534133.74</v>
      </c>
    </row>
    <row r="44" spans="1:7" s="31" customFormat="1">
      <c r="A44" s="157"/>
      <c r="B44" s="37"/>
      <c r="C44" s="38"/>
      <c r="D44" s="37"/>
      <c r="E44" s="39"/>
      <c r="F44" s="40">
        <f>SUM(F41:F43)</f>
        <v>534133.74</v>
      </c>
      <c r="G44" s="39"/>
    </row>
    <row r="45" spans="1:7" s="31" customFormat="1">
      <c r="A45" s="41"/>
      <c r="B45" s="159"/>
      <c r="C45" s="41"/>
      <c r="D45" s="41"/>
      <c r="E45" s="42"/>
      <c r="F45" s="43">
        <f>F40+F44</f>
        <v>256261.72000000003</v>
      </c>
      <c r="G45" s="42"/>
    </row>
    <row r="46" spans="1:7" s="31" customFormat="1">
      <c r="A46" s="163"/>
      <c r="B46" s="163"/>
      <c r="C46" s="163"/>
      <c r="D46" s="163"/>
      <c r="E46" s="164"/>
      <c r="F46" s="165"/>
      <c r="G46" s="164"/>
    </row>
    <row r="47" spans="1:7" s="31" customFormat="1">
      <c r="A47" s="163"/>
      <c r="B47" s="168"/>
      <c r="C47" s="168" t="s">
        <v>134</v>
      </c>
      <c r="D47" s="168"/>
      <c r="E47" s="168"/>
      <c r="F47" s="168"/>
      <c r="G47" s="164"/>
    </row>
    <row r="48" spans="1:7" s="31" customFormat="1">
      <c r="A48" s="163"/>
      <c r="B48" s="163"/>
      <c r="C48" s="163"/>
      <c r="D48" s="163"/>
      <c r="E48" s="164" t="s">
        <v>138</v>
      </c>
      <c r="F48" s="165"/>
      <c r="G48" s="164"/>
    </row>
    <row r="49" spans="1:9" s="31" customFormat="1" ht="26.25">
      <c r="A49" s="44" t="s">
        <v>32</v>
      </c>
      <c r="B49" s="45" t="s">
        <v>33</v>
      </c>
      <c r="C49" s="146" t="s">
        <v>34</v>
      </c>
      <c r="D49" s="44" t="s">
        <v>35</v>
      </c>
      <c r="E49" s="44" t="s">
        <v>36</v>
      </c>
      <c r="F49" s="44" t="s">
        <v>37</v>
      </c>
      <c r="G49" s="44" t="s">
        <v>38</v>
      </c>
    </row>
    <row r="50" spans="1:9" s="31" customFormat="1">
      <c r="A50" s="147">
        <v>182328</v>
      </c>
      <c r="B50" s="148" t="s">
        <v>133</v>
      </c>
      <c r="C50" s="149" t="s">
        <v>41</v>
      </c>
      <c r="D50" s="150" t="s">
        <v>161</v>
      </c>
      <c r="E50" s="151">
        <v>0</v>
      </c>
      <c r="F50" s="152">
        <v>0</v>
      </c>
      <c r="G50" s="151">
        <v>0</v>
      </c>
      <c r="I50" s="126"/>
    </row>
    <row r="51" spans="1:9" s="31" customFormat="1">
      <c r="A51" s="153"/>
      <c r="B51" s="148" t="s">
        <v>133</v>
      </c>
      <c r="C51" s="154"/>
      <c r="D51" s="150" t="s">
        <v>162</v>
      </c>
      <c r="E51" s="151">
        <v>0</v>
      </c>
      <c r="F51" s="152">
        <v>0</v>
      </c>
      <c r="G51" s="151">
        <v>0</v>
      </c>
      <c r="I51" s="126"/>
    </row>
    <row r="52" spans="1:9" s="31" customFormat="1">
      <c r="A52" s="153"/>
      <c r="B52" s="148" t="s">
        <v>133</v>
      </c>
      <c r="C52" s="155"/>
      <c r="D52" s="150" t="s">
        <v>163</v>
      </c>
      <c r="E52" s="151">
        <v>0</v>
      </c>
      <c r="F52" s="152">
        <v>0</v>
      </c>
      <c r="G52" s="151">
        <v>0</v>
      </c>
      <c r="I52" s="126"/>
    </row>
    <row r="53" spans="1:9" s="31" customFormat="1">
      <c r="A53" s="153"/>
      <c r="B53" s="127"/>
      <c r="C53" s="156"/>
      <c r="D53" s="37"/>
      <c r="E53" s="39"/>
      <c r="F53" s="40">
        <f>SUM(F50:F52)</f>
        <v>0</v>
      </c>
      <c r="G53" s="39"/>
    </row>
    <row r="54" spans="1:9" s="31" customFormat="1">
      <c r="A54" s="153"/>
      <c r="B54" s="148" t="s">
        <v>133</v>
      </c>
      <c r="C54" s="149" t="s">
        <v>42</v>
      </c>
      <c r="D54" s="150" t="s">
        <v>161</v>
      </c>
      <c r="E54" s="151">
        <v>0</v>
      </c>
      <c r="F54" s="152">
        <v>0</v>
      </c>
      <c r="G54" s="151">
        <v>0</v>
      </c>
    </row>
    <row r="55" spans="1:9" s="31" customFormat="1">
      <c r="A55" s="153"/>
      <c r="B55" s="148" t="s">
        <v>133</v>
      </c>
      <c r="C55" s="154"/>
      <c r="D55" s="150" t="s">
        <v>162</v>
      </c>
      <c r="E55" s="151">
        <v>0</v>
      </c>
      <c r="F55" s="152">
        <v>0</v>
      </c>
      <c r="G55" s="151">
        <v>0</v>
      </c>
      <c r="I55" s="126"/>
    </row>
    <row r="56" spans="1:9" s="31" customFormat="1">
      <c r="A56" s="153"/>
      <c r="B56" s="148" t="s">
        <v>133</v>
      </c>
      <c r="C56" s="155"/>
      <c r="D56" s="150" t="s">
        <v>163</v>
      </c>
      <c r="E56" s="151">
        <v>0</v>
      </c>
      <c r="F56" s="152">
        <v>0</v>
      </c>
      <c r="G56" s="151">
        <v>0</v>
      </c>
      <c r="I56" s="126"/>
    </row>
    <row r="57" spans="1:9" s="31" customFormat="1">
      <c r="A57" s="157"/>
      <c r="B57" s="37"/>
      <c r="C57" s="158"/>
      <c r="D57" s="37"/>
      <c r="E57" s="39"/>
      <c r="F57" s="40">
        <f>SUM(F54:F56)</f>
        <v>0</v>
      </c>
      <c r="G57" s="39"/>
    </row>
    <row r="58" spans="1:9" s="31" customFormat="1">
      <c r="A58" s="41"/>
      <c r="B58" s="159"/>
      <c r="C58" s="41"/>
      <c r="D58" s="41"/>
      <c r="E58" s="42"/>
      <c r="F58" s="43">
        <f>F53+F57</f>
        <v>0</v>
      </c>
      <c r="G58" s="42"/>
    </row>
    <row r="59" spans="1:9" s="31" customFormat="1">
      <c r="A59" s="147">
        <v>182338</v>
      </c>
      <c r="B59" s="148" t="s">
        <v>130</v>
      </c>
      <c r="C59" s="160" t="s">
        <v>41</v>
      </c>
      <c r="D59" s="150" t="s">
        <v>161</v>
      </c>
      <c r="E59" s="151">
        <v>1522614.91</v>
      </c>
      <c r="F59" s="152">
        <v>-183393.64</v>
      </c>
      <c r="G59" s="151">
        <v>1339221.27</v>
      </c>
      <c r="I59" s="126"/>
    </row>
    <row r="60" spans="1:9" s="31" customFormat="1">
      <c r="A60" s="153"/>
      <c r="B60" s="148" t="s">
        <v>130</v>
      </c>
      <c r="C60" s="161"/>
      <c r="D60" s="150" t="s">
        <v>162</v>
      </c>
      <c r="E60" s="151">
        <v>1339221.27</v>
      </c>
      <c r="F60" s="152">
        <v>-178282.59</v>
      </c>
      <c r="G60" s="151">
        <v>1160938.68</v>
      </c>
      <c r="I60" s="126"/>
    </row>
    <row r="61" spans="1:9" s="31" customFormat="1">
      <c r="A61" s="153"/>
      <c r="B61" s="148" t="s">
        <v>130</v>
      </c>
      <c r="C61" s="162"/>
      <c r="D61" s="150" t="s">
        <v>163</v>
      </c>
      <c r="E61" s="151">
        <v>1160938.68</v>
      </c>
      <c r="F61" s="152">
        <v>-183327.92</v>
      </c>
      <c r="G61" s="151">
        <v>977610.76</v>
      </c>
      <c r="I61" s="126"/>
    </row>
    <row r="62" spans="1:9" s="31" customFormat="1">
      <c r="A62" s="153"/>
      <c r="B62" s="37"/>
      <c r="C62" s="38"/>
      <c r="D62" s="37"/>
      <c r="E62" s="39"/>
      <c r="F62" s="40">
        <f>SUM(F59:F61)</f>
        <v>-545004.15</v>
      </c>
      <c r="G62" s="39"/>
    </row>
    <row r="63" spans="1:9" s="31" customFormat="1">
      <c r="A63" s="153"/>
      <c r="B63" s="148" t="s">
        <v>130</v>
      </c>
      <c r="C63" s="160" t="s">
        <v>42</v>
      </c>
      <c r="D63" s="150" t="s">
        <v>161</v>
      </c>
      <c r="E63" s="151">
        <v>0</v>
      </c>
      <c r="F63" s="152">
        <v>0</v>
      </c>
      <c r="G63" s="151">
        <v>0</v>
      </c>
    </row>
    <row r="64" spans="1:9" s="31" customFormat="1">
      <c r="A64" s="153"/>
      <c r="B64" s="148" t="s">
        <v>130</v>
      </c>
      <c r="C64" s="161"/>
      <c r="D64" s="150" t="s">
        <v>162</v>
      </c>
      <c r="E64" s="151">
        <v>0</v>
      </c>
      <c r="F64" s="152">
        <v>0</v>
      </c>
      <c r="G64" s="151">
        <v>0</v>
      </c>
      <c r="I64" s="126"/>
    </row>
    <row r="65" spans="1:9" s="31" customFormat="1">
      <c r="A65" s="153"/>
      <c r="B65" s="148" t="s">
        <v>130</v>
      </c>
      <c r="C65" s="162"/>
      <c r="D65" s="150" t="s">
        <v>163</v>
      </c>
      <c r="E65" s="151">
        <v>0</v>
      </c>
      <c r="F65" s="152">
        <v>0</v>
      </c>
      <c r="G65" s="151">
        <v>0</v>
      </c>
      <c r="I65" s="126"/>
    </row>
    <row r="66" spans="1:9" s="31" customFormat="1">
      <c r="A66" s="157"/>
      <c r="B66" s="37"/>
      <c r="C66" s="38"/>
      <c r="D66" s="37"/>
      <c r="E66" s="39"/>
      <c r="F66" s="40">
        <f>SUM(F63:F65)</f>
        <v>0</v>
      </c>
      <c r="G66" s="39"/>
    </row>
    <row r="67" spans="1:9" s="31" customFormat="1">
      <c r="A67" s="41"/>
      <c r="B67" s="159"/>
      <c r="C67" s="41"/>
      <c r="D67" s="41"/>
      <c r="E67" s="42"/>
      <c r="F67" s="43">
        <f>F62+F66</f>
        <v>-545004.15</v>
      </c>
      <c r="G67" s="42"/>
    </row>
    <row r="68" spans="1:9" s="31" customFormat="1">
      <c r="A68" s="163"/>
      <c r="B68" s="163"/>
      <c r="C68" s="163"/>
      <c r="D68" s="163"/>
      <c r="E68" s="164" t="s">
        <v>139</v>
      </c>
      <c r="F68" s="165"/>
      <c r="G68" s="164"/>
    </row>
    <row r="69" spans="1:9" s="31" customFormat="1" ht="26.25">
      <c r="A69" s="44" t="s">
        <v>32</v>
      </c>
      <c r="B69" s="45" t="s">
        <v>33</v>
      </c>
      <c r="C69" s="146" t="s">
        <v>34</v>
      </c>
      <c r="D69" s="44" t="s">
        <v>35</v>
      </c>
      <c r="E69" s="44" t="s">
        <v>36</v>
      </c>
      <c r="F69" s="44" t="s">
        <v>37</v>
      </c>
      <c r="G69" s="44" t="s">
        <v>38</v>
      </c>
    </row>
    <row r="70" spans="1:9" s="31" customFormat="1">
      <c r="A70" s="147">
        <v>254328</v>
      </c>
      <c r="B70" s="148" t="s">
        <v>140</v>
      </c>
      <c r="C70" s="149" t="s">
        <v>41</v>
      </c>
      <c r="D70" s="150" t="s">
        <v>161</v>
      </c>
      <c r="E70" s="151">
        <v>-1689066.24</v>
      </c>
      <c r="F70" s="152">
        <v>288453</v>
      </c>
      <c r="G70" s="151">
        <v>-1400613.24</v>
      </c>
    </row>
    <row r="71" spans="1:9" s="31" customFormat="1">
      <c r="A71" s="153"/>
      <c r="B71" s="148" t="s">
        <v>140</v>
      </c>
      <c r="C71" s="154"/>
      <c r="D71" s="150" t="s">
        <v>162</v>
      </c>
      <c r="E71" s="151">
        <v>-1400613.24</v>
      </c>
      <c r="F71" s="152">
        <v>236009.66</v>
      </c>
      <c r="G71" s="151">
        <v>-1164603.58</v>
      </c>
    </row>
    <row r="72" spans="1:9" s="31" customFormat="1">
      <c r="A72" s="153"/>
      <c r="B72" s="148" t="s">
        <v>140</v>
      </c>
      <c r="C72" s="155"/>
      <c r="D72" s="150" t="s">
        <v>163</v>
      </c>
      <c r="E72" s="151">
        <v>-1164603.58</v>
      </c>
      <c r="F72" s="152">
        <v>212000.46</v>
      </c>
      <c r="G72" s="151">
        <v>-952603.12</v>
      </c>
    </row>
    <row r="73" spans="1:9" s="31" customFormat="1">
      <c r="A73" s="153"/>
      <c r="B73" s="127"/>
      <c r="C73" s="156"/>
      <c r="D73" s="37"/>
      <c r="E73" s="39"/>
      <c r="F73" s="40">
        <f>SUM(F70:F72)</f>
        <v>736463.12</v>
      </c>
      <c r="G73" s="39"/>
    </row>
    <row r="74" spans="1:9" s="31" customFormat="1">
      <c r="A74" s="153"/>
      <c r="B74" s="148" t="s">
        <v>140</v>
      </c>
      <c r="C74" s="149" t="s">
        <v>42</v>
      </c>
      <c r="D74" s="150" t="s">
        <v>161</v>
      </c>
      <c r="E74" s="151">
        <v>-250596.42</v>
      </c>
      <c r="F74" s="152">
        <v>71964.7</v>
      </c>
      <c r="G74" s="151">
        <v>-178631.72</v>
      </c>
    </row>
    <row r="75" spans="1:9" s="31" customFormat="1">
      <c r="A75" s="153"/>
      <c r="B75" s="148" t="s">
        <v>140</v>
      </c>
      <c r="C75" s="154"/>
      <c r="D75" s="150" t="s">
        <v>162</v>
      </c>
      <c r="E75" s="151">
        <v>-178631.72</v>
      </c>
      <c r="F75" s="152">
        <v>50172.79</v>
      </c>
      <c r="G75" s="151">
        <v>-128458.93</v>
      </c>
    </row>
    <row r="76" spans="1:9" s="31" customFormat="1">
      <c r="A76" s="153"/>
      <c r="B76" s="148" t="s">
        <v>140</v>
      </c>
      <c r="C76" s="155"/>
      <c r="D76" s="150" t="s">
        <v>163</v>
      </c>
      <c r="E76" s="151">
        <v>-128458.93</v>
      </c>
      <c r="F76" s="152">
        <v>36358.959999999999</v>
      </c>
      <c r="G76" s="151">
        <v>-92099.97</v>
      </c>
    </row>
    <row r="77" spans="1:9" s="31" customFormat="1">
      <c r="A77" s="157"/>
      <c r="B77" s="37"/>
      <c r="C77" s="158"/>
      <c r="D77" s="37"/>
      <c r="E77" s="39"/>
      <c r="F77" s="40">
        <f>SUM(F74:F76)</f>
        <v>158496.44999999998</v>
      </c>
      <c r="G77" s="39"/>
    </row>
    <row r="78" spans="1:9" s="31" customFormat="1">
      <c r="A78" s="41"/>
      <c r="B78" s="159"/>
      <c r="C78" s="41"/>
      <c r="D78" s="41"/>
      <c r="E78" s="42"/>
      <c r="F78" s="43">
        <f>F73+F77</f>
        <v>894959.57</v>
      </c>
      <c r="G78" s="42"/>
    </row>
    <row r="79" spans="1:9" s="31" customFormat="1">
      <c r="A79" s="147">
        <v>254338</v>
      </c>
      <c r="B79" s="148" t="s">
        <v>141</v>
      </c>
      <c r="C79" s="160" t="s">
        <v>41</v>
      </c>
      <c r="D79" s="150" t="s">
        <v>161</v>
      </c>
      <c r="E79" s="151">
        <v>0</v>
      </c>
      <c r="F79" s="152">
        <v>0</v>
      </c>
      <c r="G79" s="151">
        <v>0</v>
      </c>
    </row>
    <row r="80" spans="1:9" s="31" customFormat="1">
      <c r="A80" s="153"/>
      <c r="B80" s="148" t="s">
        <v>141</v>
      </c>
      <c r="C80" s="161"/>
      <c r="D80" s="150" t="s">
        <v>162</v>
      </c>
      <c r="E80" s="151">
        <v>0</v>
      </c>
      <c r="F80" s="152">
        <v>0</v>
      </c>
      <c r="G80" s="151">
        <v>0</v>
      </c>
    </row>
    <row r="81" spans="1:12" s="31" customFormat="1">
      <c r="A81" s="153"/>
      <c r="B81" s="148" t="s">
        <v>141</v>
      </c>
      <c r="C81" s="162"/>
      <c r="D81" s="150" t="s">
        <v>163</v>
      </c>
      <c r="E81" s="151">
        <v>0</v>
      </c>
      <c r="F81" s="152">
        <v>0</v>
      </c>
      <c r="G81" s="151">
        <v>0</v>
      </c>
    </row>
    <row r="82" spans="1:12" s="31" customFormat="1">
      <c r="A82" s="153"/>
      <c r="B82" s="37"/>
      <c r="C82" s="38"/>
      <c r="D82" s="37"/>
      <c r="E82" s="39"/>
      <c r="F82" s="40">
        <f>SUM(F79:F81)</f>
        <v>0</v>
      </c>
      <c r="G82" s="39"/>
    </row>
    <row r="83" spans="1:12" s="31" customFormat="1">
      <c r="A83" s="153"/>
      <c r="B83" s="148" t="s">
        <v>141</v>
      </c>
      <c r="C83" s="160" t="s">
        <v>42</v>
      </c>
      <c r="D83" s="150" t="s">
        <v>161</v>
      </c>
      <c r="E83" s="151">
        <v>-112049.86</v>
      </c>
      <c r="F83" s="152">
        <v>19668.62</v>
      </c>
      <c r="G83" s="151">
        <v>-92381.24</v>
      </c>
    </row>
    <row r="84" spans="1:12" s="31" customFormat="1">
      <c r="A84" s="153"/>
      <c r="B84" s="148" t="s">
        <v>141</v>
      </c>
      <c r="C84" s="161"/>
      <c r="D84" s="150" t="s">
        <v>162</v>
      </c>
      <c r="E84" s="151">
        <v>-92381.24</v>
      </c>
      <c r="F84" s="152">
        <v>16274.39</v>
      </c>
      <c r="G84" s="151">
        <v>-76106.850000000006</v>
      </c>
    </row>
    <row r="85" spans="1:12" s="31" customFormat="1">
      <c r="A85" s="153"/>
      <c r="B85" s="148" t="s">
        <v>141</v>
      </c>
      <c r="C85" s="162"/>
      <c r="D85" s="150" t="s">
        <v>163</v>
      </c>
      <c r="E85" s="151">
        <v>-76106.850000000006</v>
      </c>
      <c r="F85" s="152">
        <v>13221.76</v>
      </c>
      <c r="G85" s="151">
        <v>-62885.09</v>
      </c>
    </row>
    <row r="86" spans="1:12" s="31" customFormat="1">
      <c r="A86" s="157"/>
      <c r="B86" s="37"/>
      <c r="C86" s="38"/>
      <c r="D86" s="37"/>
      <c r="E86" s="39"/>
      <c r="F86" s="40">
        <f>SUM(F83:F85)</f>
        <v>49164.77</v>
      </c>
      <c r="G86" s="39"/>
    </row>
    <row r="87" spans="1:12" s="31" customFormat="1">
      <c r="A87" s="41"/>
      <c r="B87" s="159"/>
      <c r="C87" s="41"/>
      <c r="D87" s="41"/>
      <c r="E87" s="42"/>
      <c r="F87" s="43">
        <f>F82+F86</f>
        <v>49164.77</v>
      </c>
      <c r="G87" s="42"/>
    </row>
    <row r="88" spans="1:12">
      <c r="A88" s="31"/>
      <c r="B88" s="31"/>
      <c r="C88" s="31"/>
      <c r="D88" s="31"/>
      <c r="E88" s="31"/>
      <c r="F88" s="31"/>
      <c r="G88" s="31"/>
    </row>
    <row r="89" spans="1:12">
      <c r="A89" s="166" t="s">
        <v>111</v>
      </c>
      <c r="B89" s="31"/>
      <c r="C89" s="169" t="s">
        <v>121</v>
      </c>
      <c r="D89" s="31"/>
      <c r="E89" s="31"/>
      <c r="F89" s="31"/>
      <c r="G89" s="31"/>
    </row>
    <row r="90" spans="1:12">
      <c r="A90" s="31"/>
      <c r="B90" s="31"/>
      <c r="C90" s="31"/>
      <c r="D90" s="31"/>
      <c r="E90" s="31"/>
      <c r="F90" s="31"/>
      <c r="G90" s="31"/>
    </row>
    <row r="91" spans="1:12" ht="26.25">
      <c r="A91" s="44" t="s">
        <v>32</v>
      </c>
      <c r="B91" s="45" t="s">
        <v>33</v>
      </c>
      <c r="C91" s="46" t="s">
        <v>34</v>
      </c>
      <c r="D91" s="44" t="s">
        <v>35</v>
      </c>
      <c r="E91" s="44" t="s">
        <v>36</v>
      </c>
      <c r="F91" s="44" t="s">
        <v>37</v>
      </c>
      <c r="G91" s="44" t="s">
        <v>38</v>
      </c>
      <c r="I91" s="7" t="s">
        <v>48</v>
      </c>
    </row>
    <row r="92" spans="1:12">
      <c r="A92" s="147" t="s">
        <v>45</v>
      </c>
      <c r="B92" s="148" t="s">
        <v>46</v>
      </c>
      <c r="C92" s="160" t="s">
        <v>41</v>
      </c>
      <c r="D92" s="150" t="s">
        <v>161</v>
      </c>
      <c r="E92" s="151">
        <v>410842.73</v>
      </c>
      <c r="F92" s="152">
        <v>326204.03000000003</v>
      </c>
      <c r="G92" s="151">
        <v>737046.76</v>
      </c>
      <c r="I92" s="6">
        <f>(G6+G15+G28+G37+G180+G50+G59+G70+G79)*-0.21</f>
        <v>737046.7818</v>
      </c>
      <c r="J92" s="8">
        <f>G92-I92</f>
        <v>-2.1799999987706542E-2</v>
      </c>
    </row>
    <row r="93" spans="1:12" s="12" customFormat="1">
      <c r="A93" s="153"/>
      <c r="B93" s="148" t="s">
        <v>46</v>
      </c>
      <c r="C93" s="161"/>
      <c r="D93" s="150" t="s">
        <v>162</v>
      </c>
      <c r="E93" s="151">
        <v>737046.76</v>
      </c>
      <c r="F93" s="152">
        <v>159052.82</v>
      </c>
      <c r="G93" s="151">
        <v>896099.58</v>
      </c>
      <c r="H93"/>
      <c r="I93" s="11">
        <f>(G7+G16+G29+G38+G181+G51+G60+G71+G80)*-0.21</f>
        <v>896099.60790000006</v>
      </c>
      <c r="J93" s="8">
        <f>G93-I93</f>
        <v>-2.7900000102818012E-2</v>
      </c>
      <c r="K93" s="229"/>
      <c r="L93" s="229"/>
    </row>
    <row r="94" spans="1:12" s="12" customFormat="1" ht="14.45" customHeight="1">
      <c r="A94" s="153"/>
      <c r="B94" s="148" t="s">
        <v>46</v>
      </c>
      <c r="C94" s="162"/>
      <c r="D94" s="150" t="s">
        <v>163</v>
      </c>
      <c r="E94" s="151">
        <v>896099.58</v>
      </c>
      <c r="F94" s="152">
        <v>150689.9</v>
      </c>
      <c r="G94" s="151">
        <v>1046789.48</v>
      </c>
      <c r="H94"/>
      <c r="I94" s="11">
        <f>(G8+G17+G30+G39+G182+G52+G61+G72+G81)*-0.21</f>
        <v>1046789.5116</v>
      </c>
      <c r="J94" s="8">
        <f>G94-I94</f>
        <v>-3.1599999987520278E-2</v>
      </c>
      <c r="K94" s="229"/>
      <c r="L94" s="229"/>
    </row>
    <row r="95" spans="1:12">
      <c r="A95" s="153"/>
      <c r="B95" s="37"/>
      <c r="C95" s="38"/>
      <c r="D95" s="37"/>
      <c r="E95" s="39"/>
      <c r="F95" s="40">
        <f>SUM(F92:F94)</f>
        <v>635946.75</v>
      </c>
      <c r="G95" s="39"/>
      <c r="K95" s="229"/>
      <c r="L95" s="229"/>
    </row>
    <row r="96" spans="1:12">
      <c r="A96" s="153"/>
      <c r="B96" s="148" t="s">
        <v>46</v>
      </c>
      <c r="C96" s="160" t="s">
        <v>42</v>
      </c>
      <c r="D96" s="150" t="s">
        <v>161</v>
      </c>
      <c r="E96" s="151">
        <v>-106437.64</v>
      </c>
      <c r="F96" s="152">
        <v>-1490.15</v>
      </c>
      <c r="G96" s="151">
        <v>-107927.79</v>
      </c>
      <c r="I96" s="6">
        <f>(G10+G19+G32+G41+G184+G54+G63+G74+G83)*-0.21</f>
        <v>-107927.75489999999</v>
      </c>
      <c r="J96" s="8">
        <f>G96-I96</f>
        <v>-3.5100000008242205E-2</v>
      </c>
      <c r="K96" s="8"/>
      <c r="L96" s="8"/>
    </row>
    <row r="97" spans="1:19">
      <c r="A97" s="153"/>
      <c r="B97" s="148" t="s">
        <v>46</v>
      </c>
      <c r="C97" s="161"/>
      <c r="D97" s="150" t="s">
        <v>162</v>
      </c>
      <c r="E97" s="151">
        <v>-107927.79</v>
      </c>
      <c r="F97" s="152">
        <v>-50381.21</v>
      </c>
      <c r="G97" s="151">
        <v>-158309</v>
      </c>
      <c r="I97" s="11">
        <f>(G11+G20+G33+G42+G185+G55+G64+G75+G84)*-0.21</f>
        <v>-158308.96620000002</v>
      </c>
      <c r="J97" s="8">
        <f>G97-I97</f>
        <v>-3.3799999975599349E-2</v>
      </c>
      <c r="K97" s="229"/>
      <c r="L97" s="229"/>
    </row>
    <row r="98" spans="1:19">
      <c r="A98" s="153"/>
      <c r="B98" s="148" t="s">
        <v>46</v>
      </c>
      <c r="C98" s="162"/>
      <c r="D98" s="150" t="s">
        <v>163</v>
      </c>
      <c r="E98" s="151">
        <v>-158309</v>
      </c>
      <c r="F98" s="152">
        <v>63880.71</v>
      </c>
      <c r="G98" s="151">
        <v>-94428.29</v>
      </c>
      <c r="I98" s="11">
        <f>(G12+G21+G34+G43+G186+G56+G65+G76+G85)*-0.21</f>
        <v>-94428.251400000037</v>
      </c>
      <c r="J98" s="8">
        <f>G98-I98</f>
        <v>-3.8599999956204556E-2</v>
      </c>
      <c r="K98" s="229"/>
      <c r="L98" s="229"/>
    </row>
    <row r="99" spans="1:19">
      <c r="A99" s="157"/>
      <c r="B99" s="37"/>
      <c r="C99" s="38"/>
      <c r="D99" s="37"/>
      <c r="E99" s="39"/>
      <c r="F99" s="40">
        <f>SUM(F96:F98)</f>
        <v>12009.349999999999</v>
      </c>
      <c r="G99" s="39"/>
      <c r="K99" s="229"/>
      <c r="L99" s="229"/>
    </row>
    <row r="100" spans="1:19">
      <c r="A100" s="41"/>
      <c r="B100" s="159"/>
      <c r="C100" s="41"/>
      <c r="D100" s="41"/>
      <c r="E100" s="42"/>
      <c r="F100" s="43">
        <f>F95+F99</f>
        <v>647956.1</v>
      </c>
      <c r="G100" s="42"/>
    </row>
    <row r="101" spans="1:19" s="31" customFormat="1" ht="14.45" hidden="1" customHeight="1">
      <c r="A101" s="170"/>
      <c r="B101" s="171"/>
      <c r="C101" s="170"/>
      <c r="D101" s="170"/>
      <c r="E101" s="172"/>
      <c r="F101" s="173"/>
      <c r="G101" s="172"/>
    </row>
    <row r="102" spans="1:19" ht="15.75">
      <c r="A102" s="228" t="s">
        <v>47</v>
      </c>
      <c r="B102" s="228"/>
      <c r="C102" s="228"/>
      <c r="D102" s="228"/>
      <c r="E102" s="228"/>
      <c r="F102" s="228"/>
      <c r="G102" s="228"/>
    </row>
    <row r="103" spans="1:19">
      <c r="A103" s="31"/>
      <c r="B103" s="31"/>
      <c r="C103" s="31"/>
      <c r="D103" s="31"/>
      <c r="E103" s="31"/>
      <c r="F103" s="31"/>
      <c r="G103" s="31"/>
      <c r="S103" s="31"/>
    </row>
    <row r="104" spans="1:19">
      <c r="A104" s="166" t="s">
        <v>111</v>
      </c>
      <c r="B104" s="31"/>
      <c r="C104" s="169" t="s">
        <v>122</v>
      </c>
      <c r="D104" s="31"/>
      <c r="E104" s="31"/>
      <c r="F104" s="31"/>
      <c r="G104" s="31"/>
    </row>
    <row r="105" spans="1:19">
      <c r="A105" s="31"/>
      <c r="B105" s="31"/>
      <c r="C105" s="31"/>
      <c r="D105" s="31"/>
      <c r="E105" s="31"/>
      <c r="F105" s="31"/>
      <c r="G105" s="31"/>
    </row>
    <row r="106" spans="1:19" ht="26.25">
      <c r="A106" s="44" t="s">
        <v>32</v>
      </c>
      <c r="B106" s="45" t="s">
        <v>33</v>
      </c>
      <c r="C106" s="46" t="s">
        <v>34</v>
      </c>
      <c r="D106" s="44" t="s">
        <v>35</v>
      </c>
      <c r="E106" s="44" t="s">
        <v>36</v>
      </c>
      <c r="F106" s="44" t="s">
        <v>37</v>
      </c>
      <c r="G106" s="44" t="s">
        <v>38</v>
      </c>
    </row>
    <row r="107" spans="1:19">
      <c r="A107" s="147" t="s">
        <v>50</v>
      </c>
      <c r="B107" s="148" t="s">
        <v>51</v>
      </c>
      <c r="C107" s="160" t="s">
        <v>41</v>
      </c>
      <c r="D107" s="150" t="s">
        <v>161</v>
      </c>
      <c r="E107" s="151">
        <v>0</v>
      </c>
      <c r="F107" s="152">
        <v>1435374.69</v>
      </c>
      <c r="G107" s="151">
        <v>1435374.69</v>
      </c>
    </row>
    <row r="108" spans="1:19">
      <c r="A108" s="153"/>
      <c r="B108" s="148" t="s">
        <v>51</v>
      </c>
      <c r="C108" s="161"/>
      <c r="D108" s="150" t="s">
        <v>162</v>
      </c>
      <c r="E108" s="151">
        <v>1435374.69</v>
      </c>
      <c r="F108" s="152">
        <v>968306.44</v>
      </c>
      <c r="G108" s="151">
        <v>2403681.13</v>
      </c>
    </row>
    <row r="109" spans="1:19" s="31" customFormat="1">
      <c r="A109" s="153"/>
      <c r="B109" s="148" t="s">
        <v>51</v>
      </c>
      <c r="C109" s="162"/>
      <c r="D109" s="150" t="s">
        <v>163</v>
      </c>
      <c r="E109" s="151">
        <v>2403681.13</v>
      </c>
      <c r="F109" s="152">
        <v>233710.81</v>
      </c>
      <c r="G109" s="151">
        <v>2637391.94</v>
      </c>
      <c r="H109"/>
      <c r="I109"/>
    </row>
    <row r="110" spans="1:19">
      <c r="A110" s="157"/>
      <c r="B110" s="41"/>
      <c r="C110" s="47"/>
      <c r="D110" s="41"/>
      <c r="E110" s="42"/>
      <c r="F110" s="43">
        <f>SUM(F107:F109)</f>
        <v>2637391.94</v>
      </c>
      <c r="G110" s="42"/>
    </row>
    <row r="111" spans="1:19">
      <c r="A111" s="147" t="s">
        <v>52</v>
      </c>
      <c r="B111" s="148" t="s">
        <v>53</v>
      </c>
      <c r="C111" s="160" t="s">
        <v>41</v>
      </c>
      <c r="D111" s="150" t="s">
        <v>161</v>
      </c>
      <c r="E111" s="151">
        <v>0</v>
      </c>
      <c r="F111" s="152">
        <v>220855.46</v>
      </c>
      <c r="G111" s="151">
        <v>220855.46</v>
      </c>
    </row>
    <row r="112" spans="1:19">
      <c r="A112" s="153"/>
      <c r="B112" s="148" t="s">
        <v>53</v>
      </c>
      <c r="C112" s="161"/>
      <c r="D112" s="150" t="s">
        <v>162</v>
      </c>
      <c r="E112" s="151">
        <v>220855.46</v>
      </c>
      <c r="F112" s="152">
        <v>-156396.88</v>
      </c>
      <c r="G112" s="151">
        <v>64458.58</v>
      </c>
    </row>
    <row r="113" spans="1:15" s="31" customFormat="1">
      <c r="A113" s="153"/>
      <c r="B113" s="148" t="s">
        <v>53</v>
      </c>
      <c r="C113" s="162"/>
      <c r="D113" s="150" t="s">
        <v>163</v>
      </c>
      <c r="E113" s="151">
        <v>64458.58</v>
      </c>
      <c r="F113" s="152">
        <v>508670.47</v>
      </c>
      <c r="G113" s="151">
        <v>573129.05000000005</v>
      </c>
      <c r="H113"/>
      <c r="I113"/>
    </row>
    <row r="114" spans="1:15">
      <c r="A114" s="157"/>
      <c r="B114" s="41"/>
      <c r="C114" s="47"/>
      <c r="D114" s="41"/>
      <c r="E114" s="42"/>
      <c r="F114" s="43">
        <f>SUM(F111:F113)</f>
        <v>573129.04999999993</v>
      </c>
      <c r="G114" s="42"/>
    </row>
    <row r="115" spans="1:15">
      <c r="A115" s="147" t="s">
        <v>54</v>
      </c>
      <c r="B115" s="148" t="s">
        <v>51</v>
      </c>
      <c r="C115" s="160" t="s">
        <v>42</v>
      </c>
      <c r="D115" s="150" t="s">
        <v>161</v>
      </c>
      <c r="E115" s="151">
        <v>0</v>
      </c>
      <c r="F115" s="152">
        <v>69413.33</v>
      </c>
      <c r="G115" s="151">
        <v>69413.33</v>
      </c>
    </row>
    <row r="116" spans="1:15">
      <c r="A116" s="153"/>
      <c r="B116" s="148" t="s">
        <v>51</v>
      </c>
      <c r="C116" s="161"/>
      <c r="D116" s="150" t="s">
        <v>162</v>
      </c>
      <c r="E116" s="151">
        <v>69413.33</v>
      </c>
      <c r="F116" s="152">
        <v>-124145.83</v>
      </c>
      <c r="G116" s="151">
        <v>-54732.5</v>
      </c>
    </row>
    <row r="117" spans="1:15" s="31" customFormat="1">
      <c r="A117" s="153"/>
      <c r="B117" s="148" t="s">
        <v>51</v>
      </c>
      <c r="C117" s="162"/>
      <c r="D117" s="150" t="s">
        <v>163</v>
      </c>
      <c r="E117" s="151">
        <v>-54732.5</v>
      </c>
      <c r="F117" s="152">
        <v>224029.98</v>
      </c>
      <c r="G117" s="151">
        <v>169297.48</v>
      </c>
      <c r="H117"/>
      <c r="I117"/>
    </row>
    <row r="118" spans="1:15">
      <c r="A118" s="157"/>
      <c r="B118" s="41"/>
      <c r="C118" s="47"/>
      <c r="D118" s="41"/>
      <c r="E118" s="42"/>
      <c r="F118" s="43">
        <f>SUM(F115:F117)</f>
        <v>169297.48</v>
      </c>
      <c r="G118" s="42"/>
    </row>
    <row r="119" spans="1:15">
      <c r="A119" s="147" t="s">
        <v>55</v>
      </c>
      <c r="B119" s="148" t="s">
        <v>53</v>
      </c>
      <c r="C119" s="160" t="s">
        <v>42</v>
      </c>
      <c r="D119" s="150" t="s">
        <v>161</v>
      </c>
      <c r="E119" s="151">
        <v>0</v>
      </c>
      <c r="F119" s="152">
        <v>16148.14</v>
      </c>
      <c r="G119" s="151">
        <v>16148.14</v>
      </c>
    </row>
    <row r="120" spans="1:15">
      <c r="A120" s="153"/>
      <c r="B120" s="148" t="s">
        <v>53</v>
      </c>
      <c r="C120" s="161"/>
      <c r="D120" s="150" t="s">
        <v>162</v>
      </c>
      <c r="E120" s="151">
        <v>16148.14</v>
      </c>
      <c r="F120" s="152">
        <v>-48592.3</v>
      </c>
      <c r="G120" s="151">
        <v>-32444.16</v>
      </c>
    </row>
    <row r="121" spans="1:15" s="31" customFormat="1">
      <c r="A121" s="153"/>
      <c r="B121" s="148" t="s">
        <v>53</v>
      </c>
      <c r="C121" s="162"/>
      <c r="D121" s="150" t="s">
        <v>163</v>
      </c>
      <c r="E121" s="151">
        <v>-32444.16</v>
      </c>
      <c r="F121" s="152">
        <v>130732.41</v>
      </c>
      <c r="G121" s="151">
        <v>98288.25</v>
      </c>
      <c r="H121"/>
      <c r="I121"/>
      <c r="K121"/>
      <c r="L121"/>
      <c r="M121"/>
      <c r="N121"/>
      <c r="O121"/>
    </row>
    <row r="122" spans="1:15">
      <c r="A122" s="157"/>
      <c r="B122" s="41"/>
      <c r="C122" s="47"/>
      <c r="D122" s="41"/>
      <c r="E122" s="42"/>
      <c r="F122" s="43">
        <f>SUM(F119:F121)</f>
        <v>98288.25</v>
      </c>
      <c r="G122" s="42"/>
      <c r="K122" s="31"/>
      <c r="L122" s="31"/>
      <c r="M122" s="31"/>
      <c r="N122" s="31"/>
      <c r="O122" s="31"/>
    </row>
    <row r="123" spans="1:15" s="31" customFormat="1">
      <c r="A123" s="174"/>
      <c r="B123" s="170"/>
      <c r="C123" s="163"/>
      <c r="D123" s="170"/>
      <c r="E123" s="172"/>
      <c r="F123" s="173"/>
      <c r="G123" s="172"/>
      <c r="K123"/>
      <c r="L123"/>
      <c r="M123"/>
      <c r="N123"/>
      <c r="O123"/>
    </row>
    <row r="124" spans="1:15" s="31" customFormat="1">
      <c r="A124" s="174"/>
      <c r="B124" s="170"/>
      <c r="C124" s="167" t="s">
        <v>137</v>
      </c>
      <c r="D124" s="170"/>
      <c r="E124" s="172"/>
      <c r="F124" s="173"/>
      <c r="G124" s="172"/>
    </row>
    <row r="125" spans="1:15" s="31" customFormat="1">
      <c r="A125" s="174"/>
      <c r="B125" s="170"/>
      <c r="C125" s="163"/>
      <c r="D125" s="170"/>
      <c r="E125" s="172"/>
      <c r="F125" s="173"/>
      <c r="G125" s="172"/>
    </row>
    <row r="126" spans="1:15" s="31" customFormat="1" ht="26.25">
      <c r="A126" s="44" t="s">
        <v>32</v>
      </c>
      <c r="B126" s="45" t="s">
        <v>33</v>
      </c>
      <c r="C126" s="46" t="s">
        <v>34</v>
      </c>
      <c r="D126" s="44" t="s">
        <v>35</v>
      </c>
      <c r="E126" s="44" t="s">
        <v>36</v>
      </c>
      <c r="F126" s="44" t="s">
        <v>37</v>
      </c>
      <c r="G126" s="44" t="s">
        <v>38</v>
      </c>
    </row>
    <row r="127" spans="1:15" s="31" customFormat="1">
      <c r="A127" s="147">
        <v>456329</v>
      </c>
      <c r="B127" s="148" t="s">
        <v>135</v>
      </c>
      <c r="C127" s="160" t="s">
        <v>41</v>
      </c>
      <c r="D127" s="150" t="s">
        <v>161</v>
      </c>
      <c r="E127" s="151">
        <v>0</v>
      </c>
      <c r="F127" s="152">
        <v>-289739.83</v>
      </c>
      <c r="G127" s="151">
        <v>-289739.83</v>
      </c>
    </row>
    <row r="128" spans="1:15" s="31" customFormat="1">
      <c r="A128" s="153"/>
      <c r="B128" s="148" t="s">
        <v>135</v>
      </c>
      <c r="C128" s="161"/>
      <c r="D128" s="150" t="s">
        <v>162</v>
      </c>
      <c r="E128" s="151">
        <v>-289739.83</v>
      </c>
      <c r="F128" s="152">
        <v>-237078.06</v>
      </c>
      <c r="G128" s="151">
        <v>-526817.89</v>
      </c>
    </row>
    <row r="129" spans="1:8" s="31" customFormat="1">
      <c r="A129" s="153"/>
      <c r="B129" s="148" t="s">
        <v>135</v>
      </c>
      <c r="C129" s="162"/>
      <c r="D129" s="150" t="s">
        <v>163</v>
      </c>
      <c r="E129" s="151">
        <v>-526817.89</v>
      </c>
      <c r="F129" s="152">
        <v>-212882.26</v>
      </c>
      <c r="G129" s="151">
        <v>-739700.15</v>
      </c>
    </row>
    <row r="130" spans="1:8" s="31" customFormat="1">
      <c r="A130" s="157"/>
      <c r="B130" s="41"/>
      <c r="C130" s="47"/>
      <c r="D130" s="41"/>
      <c r="E130" s="42"/>
      <c r="F130" s="43">
        <f>SUM(F127:F129)</f>
        <v>-739700.15</v>
      </c>
      <c r="G130" s="42"/>
    </row>
    <row r="131" spans="1:8" s="31" customFormat="1">
      <c r="A131" s="147">
        <v>456339</v>
      </c>
      <c r="B131" s="148" t="s">
        <v>136</v>
      </c>
      <c r="C131" s="160" t="s">
        <v>41</v>
      </c>
      <c r="D131" s="150" t="s">
        <v>161</v>
      </c>
      <c r="E131" s="151">
        <v>0</v>
      </c>
      <c r="F131" s="152">
        <v>184585.58</v>
      </c>
      <c r="G131" s="151">
        <v>184585.58</v>
      </c>
    </row>
    <row r="132" spans="1:8" s="31" customFormat="1">
      <c r="A132" s="153"/>
      <c r="B132" s="148" t="s">
        <v>136</v>
      </c>
      <c r="C132" s="161"/>
      <c r="D132" s="150" t="s">
        <v>162</v>
      </c>
      <c r="E132" s="151">
        <v>184585.58</v>
      </c>
      <c r="F132" s="152">
        <v>179323.89</v>
      </c>
      <c r="G132" s="151">
        <v>363909.47</v>
      </c>
    </row>
    <row r="133" spans="1:8" s="31" customFormat="1">
      <c r="A133" s="153"/>
      <c r="B133" s="148" t="s">
        <v>136</v>
      </c>
      <c r="C133" s="162"/>
      <c r="D133" s="150" t="s">
        <v>163</v>
      </c>
      <c r="E133" s="151">
        <v>363909.47</v>
      </c>
      <c r="F133" s="152">
        <v>184218.61</v>
      </c>
      <c r="G133" s="151">
        <v>548128.07999999996</v>
      </c>
    </row>
    <row r="134" spans="1:8" s="31" customFormat="1">
      <c r="A134" s="157"/>
      <c r="B134" s="41"/>
      <c r="C134" s="47"/>
      <c r="D134" s="41"/>
      <c r="E134" s="42"/>
      <c r="F134" s="43">
        <f>SUM(F131:F133)</f>
        <v>548128.07999999996</v>
      </c>
      <c r="G134" s="42"/>
    </row>
    <row r="135" spans="1:8" s="31" customFormat="1">
      <c r="A135" s="147">
        <v>495329</v>
      </c>
      <c r="B135" s="148" t="s">
        <v>135</v>
      </c>
      <c r="C135" s="160" t="s">
        <v>42</v>
      </c>
      <c r="D135" s="150" t="s">
        <v>161</v>
      </c>
      <c r="E135" s="151">
        <v>0</v>
      </c>
      <c r="F135" s="152">
        <v>-72137.919999999998</v>
      </c>
      <c r="G135" s="151">
        <v>-72137.919999999998</v>
      </c>
    </row>
    <row r="136" spans="1:8" s="31" customFormat="1">
      <c r="A136" s="153"/>
      <c r="B136" s="148" t="s">
        <v>135</v>
      </c>
      <c r="C136" s="161"/>
      <c r="D136" s="150" t="s">
        <v>162</v>
      </c>
      <c r="E136" s="151">
        <v>-72137.919999999998</v>
      </c>
      <c r="F136" s="152">
        <v>-50295.14</v>
      </c>
      <c r="G136" s="151">
        <v>-122433.06</v>
      </c>
    </row>
    <row r="137" spans="1:8" s="31" customFormat="1">
      <c r="A137" s="153"/>
      <c r="B137" s="148" t="s">
        <v>135</v>
      </c>
      <c r="C137" s="162"/>
      <c r="D137" s="150" t="s">
        <v>163</v>
      </c>
      <c r="E137" s="151">
        <v>-122433.06</v>
      </c>
      <c r="F137" s="152">
        <v>-36450.82</v>
      </c>
      <c r="G137" s="151">
        <v>-158883.88</v>
      </c>
    </row>
    <row r="138" spans="1:8" s="31" customFormat="1">
      <c r="A138" s="157"/>
      <c r="B138" s="41"/>
      <c r="C138" s="47"/>
      <c r="D138" s="41"/>
      <c r="E138" s="42"/>
      <c r="F138" s="43">
        <f>SUM(F135:F137)</f>
        <v>-158883.88</v>
      </c>
      <c r="G138" s="42"/>
    </row>
    <row r="139" spans="1:8" s="31" customFormat="1">
      <c r="A139" s="147">
        <v>495339</v>
      </c>
      <c r="B139" s="148" t="s">
        <v>136</v>
      </c>
      <c r="C139" s="160" t="s">
        <v>42</v>
      </c>
      <c r="D139" s="150" t="s">
        <v>161</v>
      </c>
      <c r="E139" s="151">
        <v>0</v>
      </c>
      <c r="F139" s="152">
        <v>-19752.509999999998</v>
      </c>
      <c r="G139" s="151">
        <v>-19752.509999999998</v>
      </c>
    </row>
    <row r="140" spans="1:8" s="31" customFormat="1">
      <c r="A140" s="153"/>
      <c r="B140" s="148" t="s">
        <v>136</v>
      </c>
      <c r="C140" s="161"/>
      <c r="D140" s="150" t="s">
        <v>162</v>
      </c>
      <c r="E140" s="151">
        <v>-19752.509999999998</v>
      </c>
      <c r="F140" s="152">
        <v>-16343.31</v>
      </c>
      <c r="G140" s="151">
        <v>-36095.82</v>
      </c>
    </row>
    <row r="141" spans="1:8" s="31" customFormat="1">
      <c r="A141" s="153"/>
      <c r="B141" s="148" t="s">
        <v>136</v>
      </c>
      <c r="C141" s="162"/>
      <c r="D141" s="150" t="s">
        <v>163</v>
      </c>
      <c r="E141" s="151">
        <v>-36095.82</v>
      </c>
      <c r="F141" s="152">
        <v>-13279.65</v>
      </c>
      <c r="G141" s="151">
        <v>-49375.47</v>
      </c>
    </row>
    <row r="142" spans="1:8" s="31" customFormat="1">
      <c r="A142" s="157"/>
      <c r="B142" s="41"/>
      <c r="C142" s="47"/>
      <c r="D142" s="41"/>
      <c r="E142" s="42"/>
      <c r="F142" s="43">
        <f>SUM(F139:F141)</f>
        <v>-49375.47</v>
      </c>
      <c r="G142" s="42"/>
    </row>
    <row r="143" spans="1:8" s="31" customFormat="1">
      <c r="A143" s="174"/>
      <c r="B143" s="170"/>
      <c r="C143" s="163"/>
      <c r="D143" s="170"/>
      <c r="E143" s="172"/>
      <c r="F143" s="173"/>
      <c r="G143" s="172"/>
    </row>
    <row r="144" spans="1:8">
      <c r="A144" s="166" t="s">
        <v>111</v>
      </c>
      <c r="B144" s="31"/>
      <c r="C144" s="175" t="s">
        <v>123</v>
      </c>
      <c r="D144" s="31"/>
      <c r="E144" s="31"/>
      <c r="F144" s="31"/>
      <c r="G144" s="31"/>
      <c r="H144" s="16"/>
    </row>
    <row r="145" spans="1:7">
      <c r="A145" s="31"/>
      <c r="B145" s="31"/>
      <c r="C145" s="31"/>
      <c r="D145" s="31"/>
      <c r="E145" s="31"/>
      <c r="F145" s="31"/>
      <c r="G145" s="31"/>
    </row>
    <row r="146" spans="1:7" ht="26.25">
      <c r="A146" s="44" t="s">
        <v>32</v>
      </c>
      <c r="B146" s="45" t="s">
        <v>33</v>
      </c>
      <c r="C146" s="46" t="s">
        <v>34</v>
      </c>
      <c r="D146" s="44" t="s">
        <v>35</v>
      </c>
      <c r="E146" s="44" t="s">
        <v>36</v>
      </c>
      <c r="F146" s="44" t="s">
        <v>37</v>
      </c>
      <c r="G146" s="44" t="s">
        <v>38</v>
      </c>
    </row>
    <row r="147" spans="1:7">
      <c r="A147" s="147">
        <v>419328</v>
      </c>
      <c r="B147" s="148" t="s">
        <v>142</v>
      </c>
      <c r="C147" s="160" t="s">
        <v>41</v>
      </c>
      <c r="D147" s="150" t="s">
        <v>161</v>
      </c>
      <c r="E147" s="151">
        <v>0</v>
      </c>
      <c r="F147" s="152">
        <v>-1191.94</v>
      </c>
      <c r="G147" s="151">
        <v>-1191.94</v>
      </c>
    </row>
    <row r="148" spans="1:7">
      <c r="A148" s="153"/>
      <c r="B148" s="148" t="s">
        <v>142</v>
      </c>
      <c r="C148" s="161"/>
      <c r="D148" s="150" t="s">
        <v>162</v>
      </c>
      <c r="E148" s="151">
        <v>-1191.94</v>
      </c>
      <c r="F148" s="152">
        <v>-1041.3</v>
      </c>
      <c r="G148" s="151">
        <v>-2233.2399999999998</v>
      </c>
    </row>
    <row r="149" spans="1:7">
      <c r="A149" s="153"/>
      <c r="B149" s="148" t="s">
        <v>142</v>
      </c>
      <c r="C149" s="162"/>
      <c r="D149" s="150" t="s">
        <v>163</v>
      </c>
      <c r="E149" s="151">
        <v>-2233.2399999999998</v>
      </c>
      <c r="F149" s="152">
        <v>-890.69</v>
      </c>
      <c r="G149" s="151">
        <v>-3123.93</v>
      </c>
    </row>
    <row r="150" spans="1:7">
      <c r="A150" s="153"/>
      <c r="B150" s="37"/>
      <c r="C150" s="38"/>
      <c r="D150" s="37"/>
      <c r="E150" s="39"/>
      <c r="F150" s="40">
        <f>SUM(F147:F149)</f>
        <v>-3123.93</v>
      </c>
      <c r="G150" s="39"/>
    </row>
    <row r="151" spans="1:7">
      <c r="A151" s="153"/>
      <c r="B151" s="148" t="s">
        <v>142</v>
      </c>
      <c r="C151" s="160" t="s">
        <v>42</v>
      </c>
      <c r="D151" s="150" t="s">
        <v>161</v>
      </c>
      <c r="E151" s="151">
        <v>0</v>
      </c>
      <c r="F151" s="152">
        <v>-1394.97</v>
      </c>
      <c r="G151" s="151">
        <v>-1394.97</v>
      </c>
    </row>
    <row r="152" spans="1:7">
      <c r="A152" s="153"/>
      <c r="B152" s="148" t="s">
        <v>142</v>
      </c>
      <c r="C152" s="161"/>
      <c r="D152" s="150" t="s">
        <v>162</v>
      </c>
      <c r="E152" s="151">
        <v>-1394.97</v>
      </c>
      <c r="F152" s="152">
        <v>-1395.25</v>
      </c>
      <c r="G152" s="151">
        <v>-2790.22</v>
      </c>
    </row>
    <row r="153" spans="1:7">
      <c r="A153" s="153"/>
      <c r="B153" s="148" t="s">
        <v>142</v>
      </c>
      <c r="C153" s="162"/>
      <c r="D153" s="150" t="s">
        <v>163</v>
      </c>
      <c r="E153" s="151">
        <v>-2790.22</v>
      </c>
      <c r="F153" s="152">
        <v>-2069.42</v>
      </c>
      <c r="G153" s="151">
        <v>-4859.6400000000003</v>
      </c>
    </row>
    <row r="154" spans="1:7">
      <c r="A154" s="157"/>
      <c r="B154" s="37"/>
      <c r="C154" s="38"/>
      <c r="D154" s="37"/>
      <c r="E154" s="39"/>
      <c r="F154" s="40">
        <f>SUM(F151:F153)</f>
        <v>-4859.6400000000003</v>
      </c>
      <c r="G154" s="39"/>
    </row>
    <row r="155" spans="1:7">
      <c r="A155" s="133"/>
      <c r="B155" s="134"/>
      <c r="C155" s="133"/>
      <c r="D155" s="133"/>
      <c r="E155" s="135"/>
      <c r="F155" s="136">
        <f>F150+F154</f>
        <v>-7983.57</v>
      </c>
      <c r="G155" s="135"/>
    </row>
    <row r="156" spans="1:7">
      <c r="A156" s="153">
        <v>431328</v>
      </c>
      <c r="B156" s="176" t="s">
        <v>143</v>
      </c>
      <c r="C156" s="161" t="s">
        <v>41</v>
      </c>
      <c r="D156" s="177" t="s">
        <v>161</v>
      </c>
      <c r="E156" s="178">
        <v>0</v>
      </c>
      <c r="F156" s="179">
        <v>3468.54</v>
      </c>
      <c r="G156" s="178">
        <v>3468.54</v>
      </c>
    </row>
    <row r="157" spans="1:7">
      <c r="A157" s="153"/>
      <c r="B157" s="148" t="s">
        <v>143</v>
      </c>
      <c r="C157" s="161"/>
      <c r="D157" s="150" t="s">
        <v>162</v>
      </c>
      <c r="E157" s="151">
        <v>3468.54</v>
      </c>
      <c r="F157" s="152">
        <v>4280.32</v>
      </c>
      <c r="G157" s="151">
        <v>7748.86</v>
      </c>
    </row>
    <row r="158" spans="1:7">
      <c r="A158" s="153"/>
      <c r="B158" s="148" t="s">
        <v>143</v>
      </c>
      <c r="C158" s="162"/>
      <c r="D158" s="138" t="s">
        <v>163</v>
      </c>
      <c r="E158" s="151">
        <v>7748.86</v>
      </c>
      <c r="F158" s="152">
        <v>4744.03</v>
      </c>
      <c r="G158" s="151">
        <v>12492.89</v>
      </c>
    </row>
    <row r="159" spans="1:7">
      <c r="A159" s="153"/>
      <c r="B159" s="37"/>
      <c r="C159" s="38"/>
      <c r="D159" s="37"/>
      <c r="E159" s="39"/>
      <c r="F159" s="40">
        <f>SUM(F156:F158)</f>
        <v>12492.89</v>
      </c>
      <c r="G159" s="39"/>
    </row>
    <row r="160" spans="1:7">
      <c r="A160" s="153"/>
      <c r="B160" s="148" t="s">
        <v>143</v>
      </c>
      <c r="C160" s="160" t="s">
        <v>42</v>
      </c>
      <c r="D160" s="150" t="s">
        <v>161</v>
      </c>
      <c r="E160" s="151">
        <v>0</v>
      </c>
      <c r="F160" s="152">
        <v>627.96</v>
      </c>
      <c r="G160" s="151">
        <v>627.96</v>
      </c>
    </row>
    <row r="161" spans="1:7">
      <c r="A161" s="153"/>
      <c r="B161" s="148" t="s">
        <v>143</v>
      </c>
      <c r="C161" s="161"/>
      <c r="D161" s="150" t="s">
        <v>162</v>
      </c>
      <c r="E161" s="151">
        <v>627.96</v>
      </c>
      <c r="F161" s="152">
        <v>861.3</v>
      </c>
      <c r="G161" s="151">
        <v>1489.26</v>
      </c>
    </row>
    <row r="162" spans="1:7">
      <c r="A162" s="153"/>
      <c r="B162" s="148" t="s">
        <v>143</v>
      </c>
      <c r="C162" s="162"/>
      <c r="D162" s="150" t="s">
        <v>163</v>
      </c>
      <c r="E162" s="151">
        <v>1489.26</v>
      </c>
      <c r="F162" s="152">
        <v>1231.3800000000001</v>
      </c>
      <c r="G162" s="151">
        <v>2720.64</v>
      </c>
    </row>
    <row r="163" spans="1:7">
      <c r="A163" s="157"/>
      <c r="B163" s="37"/>
      <c r="C163" s="38"/>
      <c r="D163" s="37"/>
      <c r="E163" s="39"/>
      <c r="F163" s="40">
        <f>SUM(F160:F162)</f>
        <v>2720.6400000000003</v>
      </c>
      <c r="G163" s="39"/>
    </row>
    <row r="164" spans="1:7">
      <c r="A164" s="133"/>
      <c r="B164" s="134"/>
      <c r="C164" s="133"/>
      <c r="D164" s="133"/>
      <c r="E164" s="135"/>
      <c r="F164" s="136">
        <f>F159+F163</f>
        <v>15213.529999999999</v>
      </c>
      <c r="G164" s="135"/>
    </row>
    <row r="165" spans="1:7" ht="9.6" customHeight="1">
      <c r="A165" s="31"/>
      <c r="B165" s="31"/>
      <c r="C165" s="31"/>
      <c r="D165" s="31"/>
      <c r="E165" s="31"/>
      <c r="F165" s="31"/>
      <c r="G165" s="31"/>
    </row>
    <row r="166" spans="1:7" s="31" customFormat="1" ht="15.75">
      <c r="A166" s="228" t="s">
        <v>118</v>
      </c>
      <c r="B166" s="228"/>
      <c r="C166" s="228"/>
      <c r="D166" s="228"/>
      <c r="E166" s="228"/>
      <c r="F166" s="228"/>
      <c r="G166" s="228"/>
    </row>
    <row r="167" spans="1:7" ht="9.6" customHeight="1">
      <c r="A167" s="31"/>
      <c r="B167" s="31"/>
      <c r="C167" s="31"/>
      <c r="D167" s="31"/>
      <c r="E167" s="31"/>
      <c r="F167" s="31"/>
      <c r="G167" s="31"/>
    </row>
    <row r="168" spans="1:7">
      <c r="A168" s="166" t="s">
        <v>111</v>
      </c>
      <c r="B168" s="31"/>
      <c r="C168" s="31"/>
      <c r="D168" s="31"/>
      <c r="E168" s="31"/>
      <c r="F168" s="31"/>
      <c r="G168" s="31"/>
    </row>
    <row r="169" spans="1:7">
      <c r="A169" s="31"/>
      <c r="B169" s="31"/>
      <c r="C169" s="31"/>
      <c r="D169" s="31"/>
      <c r="E169" s="31"/>
      <c r="F169" s="31"/>
      <c r="G169" s="31"/>
    </row>
    <row r="170" spans="1:7" ht="25.5">
      <c r="A170" s="113" t="s">
        <v>32</v>
      </c>
      <c r="B170" s="114" t="s">
        <v>33</v>
      </c>
      <c r="C170" s="115" t="s">
        <v>34</v>
      </c>
      <c r="D170" s="116" t="s">
        <v>35</v>
      </c>
      <c r="E170" s="117" t="s">
        <v>36</v>
      </c>
      <c r="F170" s="116" t="s">
        <v>37</v>
      </c>
      <c r="G170" s="116" t="s">
        <v>38</v>
      </c>
    </row>
    <row r="171" spans="1:7">
      <c r="A171" s="147" t="s">
        <v>114</v>
      </c>
      <c r="B171" s="148" t="s">
        <v>115</v>
      </c>
      <c r="C171" s="160" t="s">
        <v>41</v>
      </c>
      <c r="D171" s="150" t="s">
        <v>161</v>
      </c>
      <c r="E171" s="151">
        <v>0</v>
      </c>
      <c r="F171" s="152">
        <v>0</v>
      </c>
      <c r="G171" s="151">
        <v>0</v>
      </c>
    </row>
    <row r="172" spans="1:7">
      <c r="A172" s="153"/>
      <c r="B172" s="148" t="s">
        <v>115</v>
      </c>
      <c r="C172" s="161"/>
      <c r="D172" s="150" t="s">
        <v>162</v>
      </c>
      <c r="E172" s="151">
        <v>0</v>
      </c>
      <c r="F172" s="152">
        <v>0</v>
      </c>
      <c r="G172" s="151">
        <v>0</v>
      </c>
    </row>
    <row r="173" spans="1:7">
      <c r="A173" s="153"/>
      <c r="B173" s="148" t="s">
        <v>115</v>
      </c>
      <c r="C173" s="162"/>
      <c r="D173" s="150" t="s">
        <v>163</v>
      </c>
      <c r="E173" s="151">
        <v>0</v>
      </c>
      <c r="F173" s="152">
        <v>0</v>
      </c>
      <c r="G173" s="151">
        <v>0</v>
      </c>
    </row>
    <row r="174" spans="1:7">
      <c r="A174" s="153"/>
      <c r="B174" s="37"/>
      <c r="C174" s="37"/>
      <c r="D174" s="37"/>
      <c r="E174" s="39"/>
      <c r="F174" s="40">
        <f>SUM(F171:F173)</f>
        <v>0</v>
      </c>
      <c r="G174" s="39"/>
    </row>
    <row r="175" spans="1:7">
      <c r="A175" s="153"/>
      <c r="B175" s="148" t="s">
        <v>115</v>
      </c>
      <c r="C175" s="160" t="s">
        <v>42</v>
      </c>
      <c r="D175" s="150" t="s">
        <v>161</v>
      </c>
      <c r="E175" s="151">
        <v>0</v>
      </c>
      <c r="F175" s="152">
        <v>0</v>
      </c>
      <c r="G175" s="151">
        <v>0</v>
      </c>
    </row>
    <row r="176" spans="1:7">
      <c r="A176" s="153"/>
      <c r="B176" s="148" t="s">
        <v>115</v>
      </c>
      <c r="C176" s="161"/>
      <c r="D176" s="150" t="s">
        <v>162</v>
      </c>
      <c r="E176" s="151">
        <v>0</v>
      </c>
      <c r="F176" s="152">
        <v>0</v>
      </c>
      <c r="G176" s="151">
        <v>0</v>
      </c>
    </row>
    <row r="177" spans="1:7">
      <c r="A177" s="153"/>
      <c r="B177" s="148" t="s">
        <v>115</v>
      </c>
      <c r="C177" s="162"/>
      <c r="D177" s="150" t="s">
        <v>163</v>
      </c>
      <c r="E177" s="151">
        <v>0</v>
      </c>
      <c r="F177" s="152">
        <v>0</v>
      </c>
      <c r="G177" s="151">
        <v>0</v>
      </c>
    </row>
    <row r="178" spans="1:7">
      <c r="A178" s="157"/>
      <c r="B178" s="37"/>
      <c r="C178" s="37"/>
      <c r="D178" s="37"/>
      <c r="E178" s="39"/>
      <c r="F178" s="40">
        <f>SUM(F175:F177)</f>
        <v>0</v>
      </c>
      <c r="G178" s="39"/>
    </row>
    <row r="179" spans="1:7">
      <c r="A179" s="41"/>
      <c r="B179" s="41"/>
      <c r="C179" s="41"/>
      <c r="D179" s="41"/>
      <c r="E179" s="42"/>
      <c r="F179" s="43">
        <f>F174+F178</f>
        <v>0</v>
      </c>
      <c r="G179" s="42"/>
    </row>
    <row r="180" spans="1:7">
      <c r="A180" s="147" t="s">
        <v>124</v>
      </c>
      <c r="B180" s="148" t="s">
        <v>125</v>
      </c>
      <c r="C180" s="160" t="s">
        <v>41</v>
      </c>
      <c r="D180" s="150" t="s">
        <v>161</v>
      </c>
      <c r="E180" s="151">
        <v>0</v>
      </c>
      <c r="F180" s="152">
        <v>0</v>
      </c>
      <c r="G180" s="151">
        <v>0</v>
      </c>
    </row>
    <row r="181" spans="1:7">
      <c r="A181" s="153"/>
      <c r="B181" s="148" t="s">
        <v>125</v>
      </c>
      <c r="C181" s="161"/>
      <c r="D181" s="150" t="s">
        <v>162</v>
      </c>
      <c r="E181" s="151">
        <v>0</v>
      </c>
      <c r="F181" s="152">
        <v>0</v>
      </c>
      <c r="G181" s="151">
        <v>0</v>
      </c>
    </row>
    <row r="182" spans="1:7">
      <c r="A182" s="153"/>
      <c r="B182" s="148" t="s">
        <v>125</v>
      </c>
      <c r="C182" s="162"/>
      <c r="D182" s="150" t="s">
        <v>163</v>
      </c>
      <c r="E182" s="151">
        <v>0</v>
      </c>
      <c r="F182" s="152">
        <v>0</v>
      </c>
      <c r="G182" s="151">
        <v>0</v>
      </c>
    </row>
    <row r="183" spans="1:7">
      <c r="A183" s="153"/>
      <c r="B183" s="37"/>
      <c r="C183" s="37"/>
      <c r="D183" s="37"/>
      <c r="E183" s="39"/>
      <c r="F183" s="40">
        <f>SUM(F180:F182)</f>
        <v>0</v>
      </c>
      <c r="G183" s="39"/>
    </row>
    <row r="184" spans="1:7">
      <c r="A184" s="153"/>
      <c r="B184" s="148" t="s">
        <v>125</v>
      </c>
      <c r="C184" s="160" t="s">
        <v>42</v>
      </c>
      <c r="D184" s="150" t="s">
        <v>161</v>
      </c>
      <c r="E184" s="151">
        <v>0</v>
      </c>
      <c r="F184" s="152">
        <v>0</v>
      </c>
      <c r="G184" s="151">
        <v>0</v>
      </c>
    </row>
    <row r="185" spans="1:7">
      <c r="A185" s="153"/>
      <c r="B185" s="148" t="s">
        <v>125</v>
      </c>
      <c r="C185" s="161"/>
      <c r="D185" s="150" t="s">
        <v>162</v>
      </c>
      <c r="E185" s="151">
        <v>0</v>
      </c>
      <c r="F185" s="152">
        <v>0</v>
      </c>
      <c r="G185" s="151">
        <v>0</v>
      </c>
    </row>
    <row r="186" spans="1:7">
      <c r="A186" s="153"/>
      <c r="B186" s="148" t="s">
        <v>125</v>
      </c>
      <c r="C186" s="162"/>
      <c r="D186" s="150" t="s">
        <v>163</v>
      </c>
      <c r="E186" s="151">
        <v>0</v>
      </c>
      <c r="F186" s="152">
        <v>0</v>
      </c>
      <c r="G186" s="151">
        <v>0</v>
      </c>
    </row>
    <row r="187" spans="1:7">
      <c r="A187" s="157"/>
      <c r="B187" s="37"/>
      <c r="C187" s="37"/>
      <c r="D187" s="37"/>
      <c r="E187" s="39"/>
      <c r="F187" s="40">
        <f>SUM(F184:F186)</f>
        <v>0</v>
      </c>
      <c r="G187" s="39"/>
    </row>
    <row r="188" spans="1:7">
      <c r="A188" s="41"/>
      <c r="B188" s="41"/>
      <c r="C188" s="41"/>
      <c r="D188" s="41"/>
      <c r="E188" s="42"/>
      <c r="F188" s="43">
        <f>F183+F187</f>
        <v>0</v>
      </c>
      <c r="G188" s="42"/>
    </row>
    <row r="189" spans="1:7">
      <c r="A189" s="147" t="s">
        <v>126</v>
      </c>
      <c r="B189" s="148" t="s">
        <v>117</v>
      </c>
      <c r="C189" s="160" t="s">
        <v>41</v>
      </c>
      <c r="D189" s="150" t="s">
        <v>161</v>
      </c>
      <c r="E189" s="151">
        <v>0</v>
      </c>
      <c r="F189" s="152">
        <v>0</v>
      </c>
      <c r="G189" s="151">
        <v>0</v>
      </c>
    </row>
    <row r="190" spans="1:7">
      <c r="A190" s="153"/>
      <c r="B190" s="148" t="s">
        <v>117</v>
      </c>
      <c r="C190" s="161"/>
      <c r="D190" s="150" t="s">
        <v>162</v>
      </c>
      <c r="E190" s="151">
        <v>0</v>
      </c>
      <c r="F190" s="152">
        <v>0</v>
      </c>
      <c r="G190" s="151">
        <v>0</v>
      </c>
    </row>
    <row r="191" spans="1:7">
      <c r="A191" s="153"/>
      <c r="B191" s="148" t="s">
        <v>117</v>
      </c>
      <c r="C191" s="162"/>
      <c r="D191" s="150" t="s">
        <v>163</v>
      </c>
      <c r="E191" s="151">
        <v>0</v>
      </c>
      <c r="F191" s="152">
        <v>0</v>
      </c>
      <c r="G191" s="151">
        <v>0</v>
      </c>
    </row>
    <row r="192" spans="1:7">
      <c r="A192" s="157"/>
      <c r="B192" s="37"/>
      <c r="C192" s="37"/>
      <c r="D192" s="37"/>
      <c r="E192" s="39"/>
      <c r="F192" s="40">
        <f>SUM(F189:F191)</f>
        <v>0</v>
      </c>
      <c r="G192" s="39"/>
    </row>
    <row r="193" spans="1:7">
      <c r="A193" s="41"/>
      <c r="B193" s="41"/>
      <c r="C193" s="41"/>
      <c r="D193" s="41"/>
      <c r="E193" s="42"/>
      <c r="F193" s="43">
        <f>F192</f>
        <v>0</v>
      </c>
      <c r="G193" s="42"/>
    </row>
    <row r="194" spans="1:7">
      <c r="A194" s="147" t="s">
        <v>116</v>
      </c>
      <c r="B194" s="148" t="s">
        <v>117</v>
      </c>
      <c r="C194" s="160" t="s">
        <v>42</v>
      </c>
      <c r="D194" s="150" t="s">
        <v>161</v>
      </c>
      <c r="E194" s="151">
        <v>0</v>
      </c>
      <c r="F194" s="152">
        <v>0</v>
      </c>
      <c r="G194" s="151">
        <v>0</v>
      </c>
    </row>
    <row r="195" spans="1:7">
      <c r="A195" s="153"/>
      <c r="B195" s="148" t="s">
        <v>117</v>
      </c>
      <c r="C195" s="161"/>
      <c r="D195" s="150" t="s">
        <v>162</v>
      </c>
      <c r="E195" s="151">
        <v>0</v>
      </c>
      <c r="F195" s="152">
        <v>0</v>
      </c>
      <c r="G195" s="151">
        <v>0</v>
      </c>
    </row>
    <row r="196" spans="1:7">
      <c r="A196" s="153"/>
      <c r="B196" s="148" t="s">
        <v>117</v>
      </c>
      <c r="C196" s="162"/>
      <c r="D196" s="150" t="s">
        <v>163</v>
      </c>
      <c r="E196" s="151">
        <v>0</v>
      </c>
      <c r="F196" s="152">
        <v>0</v>
      </c>
      <c r="G196" s="151">
        <v>0</v>
      </c>
    </row>
    <row r="197" spans="1:7">
      <c r="A197" s="157"/>
      <c r="B197" s="37"/>
      <c r="C197" s="37"/>
      <c r="D197" s="37"/>
      <c r="E197" s="39"/>
      <c r="F197" s="40">
        <f>SUM(F194:F196)</f>
        <v>0</v>
      </c>
      <c r="G197" s="39"/>
    </row>
    <row r="198" spans="1:7">
      <c r="A198" s="41"/>
      <c r="B198" s="41"/>
      <c r="C198" s="41"/>
      <c r="D198" s="41"/>
      <c r="E198" s="42"/>
      <c r="F198" s="43">
        <f>F197</f>
        <v>0</v>
      </c>
      <c r="G198" s="42"/>
    </row>
    <row r="200" spans="1:7">
      <c r="A200" s="31"/>
      <c r="B200" s="31"/>
      <c r="C200" s="31"/>
      <c r="D200" s="31"/>
      <c r="E200" s="31"/>
      <c r="F200" s="31"/>
      <c r="G200" s="31"/>
    </row>
    <row r="201" spans="1:7">
      <c r="A201" s="223"/>
      <c r="B201" s="223"/>
      <c r="C201" s="223"/>
      <c r="D201" s="223"/>
      <c r="E201" s="223"/>
      <c r="F201" s="223"/>
      <c r="G201" s="223"/>
    </row>
    <row r="202" spans="1:7">
      <c r="A202" s="223"/>
      <c r="B202" s="223"/>
      <c r="C202" s="223"/>
      <c r="D202" s="223"/>
      <c r="E202" s="223"/>
      <c r="F202" s="223"/>
      <c r="G202" s="223"/>
    </row>
    <row r="203" spans="1:7">
      <c r="A203" s="223"/>
      <c r="B203" s="223"/>
      <c r="C203" s="223"/>
      <c r="D203" s="223"/>
      <c r="E203" s="223"/>
      <c r="F203" s="223"/>
      <c r="G203" s="223"/>
    </row>
    <row r="204" spans="1:7">
      <c r="A204" s="223"/>
      <c r="B204" s="223"/>
      <c r="C204" s="223"/>
      <c r="D204" s="223"/>
      <c r="E204" s="223"/>
      <c r="F204" s="223"/>
      <c r="G204" s="223"/>
    </row>
    <row r="205" spans="1:7">
      <c r="A205" s="223"/>
      <c r="B205" s="223"/>
      <c r="C205" s="223"/>
      <c r="D205" s="223"/>
      <c r="E205" s="223"/>
      <c r="F205" s="223"/>
      <c r="G205" s="223"/>
    </row>
    <row r="206" spans="1:7">
      <c r="A206" s="223"/>
      <c r="B206" s="223"/>
      <c r="C206" s="223"/>
      <c r="D206" s="223"/>
      <c r="E206" s="223"/>
      <c r="F206" s="223"/>
      <c r="G206" s="223"/>
    </row>
    <row r="207" spans="1:7">
      <c r="A207" s="223"/>
      <c r="B207" s="223"/>
      <c r="C207" s="223"/>
      <c r="D207" s="223"/>
      <c r="E207" s="223"/>
      <c r="F207" s="223"/>
      <c r="G207" s="223"/>
    </row>
    <row r="208" spans="1:7">
      <c r="A208" s="223"/>
      <c r="B208" s="223"/>
      <c r="C208" s="223"/>
      <c r="D208" s="223"/>
      <c r="E208" s="223"/>
      <c r="F208" s="223"/>
      <c r="G208" s="223"/>
    </row>
    <row r="209" spans="1:7">
      <c r="A209" s="223"/>
      <c r="B209" s="223"/>
      <c r="C209" s="223"/>
      <c r="D209" s="223"/>
      <c r="E209" s="223"/>
      <c r="F209" s="223"/>
      <c r="G209" s="223"/>
    </row>
    <row r="210" spans="1:7">
      <c r="A210" s="223"/>
      <c r="B210" s="223"/>
      <c r="C210" s="223"/>
      <c r="D210" s="223"/>
      <c r="E210" s="223"/>
      <c r="F210" s="223"/>
      <c r="G210" s="223"/>
    </row>
    <row r="211" spans="1:7">
      <c r="A211" s="223"/>
      <c r="B211" s="223"/>
      <c r="C211" s="223"/>
      <c r="D211" s="223"/>
      <c r="E211" s="223"/>
      <c r="F211" s="223"/>
      <c r="G211" s="223"/>
    </row>
    <row r="212" spans="1:7">
      <c r="A212" s="14"/>
      <c r="B212" s="14"/>
      <c r="C212" s="14"/>
      <c r="D212" s="14"/>
      <c r="E212" s="14"/>
      <c r="F212" s="14"/>
      <c r="G212" s="14"/>
    </row>
    <row r="213" spans="1:7" s="31" customFormat="1">
      <c r="A213" s="14"/>
      <c r="B213" s="144"/>
      <c r="C213" s="14"/>
      <c r="D213" s="14"/>
      <c r="E213" s="14"/>
      <c r="F213" s="14"/>
      <c r="G213" s="14"/>
    </row>
    <row r="214" spans="1:7" s="31" customFormat="1">
      <c r="A214" s="14"/>
      <c r="B214" s="144"/>
      <c r="C214" s="14"/>
      <c r="D214" s="14"/>
      <c r="E214" s="14"/>
      <c r="F214" s="14"/>
      <c r="G214" s="14"/>
    </row>
    <row r="215" spans="1:7">
      <c r="A215" s="14"/>
      <c r="B215" s="144"/>
      <c r="C215" s="14"/>
      <c r="D215" s="14"/>
      <c r="E215" s="14"/>
      <c r="F215" s="14"/>
      <c r="G215" s="14"/>
    </row>
    <row r="216" spans="1:7">
      <c r="A216" s="14"/>
      <c r="B216" s="144"/>
      <c r="C216" s="14"/>
      <c r="D216" s="14"/>
      <c r="E216" s="14"/>
      <c r="F216" s="14"/>
      <c r="G216" s="14"/>
    </row>
  </sheetData>
  <mergeCells count="5">
    <mergeCell ref="A102:G102"/>
    <mergeCell ref="A1:G1"/>
    <mergeCell ref="A166:G166"/>
    <mergeCell ref="K93:L95"/>
    <mergeCell ref="K97:L99"/>
  </mergeCells>
  <phoneticPr fontId="175" type="noConversion"/>
  <printOptions horizontalCentered="1"/>
  <pageMargins left="0.7" right="0.55000000000000004" top="1" bottom="0.53" header="0.39" footer="0.3"/>
  <pageSetup scale="73" firstPageNumber="5" fitToHeight="4" orientation="portrait" useFirstPageNumber="1" r:id="rId1"/>
  <headerFooter scaleWithDoc="0">
    <oddHeader>&amp;C&amp;8Avista Corporation Fixed Cost Adjustment Mechanism
Idaho Jurisdiction
Quarterly Report for 1st 
Quarter 2022</oddHeader>
    <oddFooter>&amp;C&amp;F / &amp;A&amp;RPage &amp;P of 9</oddFooter>
  </headerFooter>
  <rowBreaks count="3" manualBreakCount="3">
    <brk id="46" max="6" man="1"/>
    <brk id="88" max="6" man="1"/>
    <brk id="14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87"/>
  <sheetViews>
    <sheetView zoomScaleNormal="100" zoomScaleSheetLayoutView="100" workbookViewId="0">
      <selection activeCell="I25" sqref="I25"/>
    </sheetView>
  </sheetViews>
  <sheetFormatPr defaultRowHeight="15"/>
  <cols>
    <col min="1" max="1" width="2.85546875" customWidth="1"/>
    <col min="2" max="2" width="20.7109375" customWidth="1"/>
    <col min="3" max="3" width="8.28515625" customWidth="1"/>
    <col min="4" max="4" width="5" customWidth="1"/>
    <col min="5" max="5" width="9" customWidth="1"/>
    <col min="6" max="6" width="9.28515625" customWidth="1"/>
    <col min="7" max="7" width="8.7109375" customWidth="1"/>
    <col min="8" max="8" width="8.42578125" style="31" customWidth="1"/>
    <col min="9" max="9" width="8.5703125" customWidth="1"/>
    <col min="10" max="10" width="6.85546875" bestFit="1" customWidth="1"/>
    <col min="11" max="11" width="2" bestFit="1" customWidth="1"/>
    <col min="12" max="12" width="8.5703125" customWidth="1"/>
  </cols>
  <sheetData>
    <row r="1" spans="1:12">
      <c r="A1" t="s">
        <v>49</v>
      </c>
    </row>
    <row r="2" spans="1:12" s="12" customFormat="1" ht="14.45" customHeight="1">
      <c r="A2" s="20"/>
      <c r="B2" s="20"/>
      <c r="C2" s="20"/>
      <c r="D2" s="20"/>
      <c r="E2" s="20"/>
      <c r="F2" s="20"/>
      <c r="G2" s="20"/>
      <c r="H2" s="36"/>
      <c r="I2" s="20"/>
      <c r="J2" s="20"/>
      <c r="K2" s="20"/>
    </row>
    <row r="3" spans="1:12" s="12" customFormat="1" ht="64.5" customHeight="1">
      <c r="A3" s="232" t="s">
        <v>168</v>
      </c>
      <c r="B3" s="232"/>
      <c r="C3" s="232"/>
      <c r="D3" s="232"/>
      <c r="E3" s="232"/>
      <c r="F3" s="232"/>
      <c r="G3" s="232"/>
      <c r="H3" s="232"/>
      <c r="I3" s="232"/>
      <c r="J3" s="232"/>
      <c r="K3" s="109"/>
    </row>
    <row r="4" spans="1:12" ht="14.45" customHeight="1"/>
    <row r="5" spans="1:12">
      <c r="A5" s="231" t="s">
        <v>119</v>
      </c>
      <c r="B5" s="231"/>
      <c r="C5" s="231"/>
      <c r="D5" s="231"/>
      <c r="E5" s="231"/>
      <c r="F5" s="231"/>
      <c r="G5" s="231"/>
      <c r="H5" s="231"/>
      <c r="I5" s="231"/>
      <c r="J5" s="231"/>
      <c r="K5" s="17"/>
    </row>
    <row r="6" spans="1:12" s="12" customFormat="1" ht="13.9" customHeight="1">
      <c r="A6" s="231" t="s">
        <v>120</v>
      </c>
      <c r="B6" s="231"/>
      <c r="C6" s="231"/>
      <c r="D6" s="231"/>
      <c r="E6" s="231"/>
      <c r="F6" s="231"/>
      <c r="G6" s="231"/>
      <c r="H6" s="231"/>
      <c r="I6" s="231"/>
      <c r="J6" s="231"/>
      <c r="K6" s="231"/>
    </row>
    <row r="7" spans="1:12" ht="28.9" customHeight="1">
      <c r="A7" s="17"/>
      <c r="B7" s="17"/>
      <c r="C7" s="17"/>
      <c r="E7" s="22" t="s">
        <v>164</v>
      </c>
      <c r="F7" s="22" t="s">
        <v>165</v>
      </c>
      <c r="G7" s="25" t="s">
        <v>166</v>
      </c>
      <c r="H7" s="35" t="s">
        <v>167</v>
      </c>
      <c r="I7" s="48" t="s">
        <v>132</v>
      </c>
      <c r="J7" s="22" t="s">
        <v>58</v>
      </c>
      <c r="K7" s="17"/>
      <c r="L7" s="17"/>
    </row>
    <row r="8" spans="1:12" ht="14.45" customHeight="1">
      <c r="A8" s="21" t="s">
        <v>56</v>
      </c>
      <c r="B8" s="9"/>
      <c r="C8" s="9"/>
      <c r="E8" s="9"/>
      <c r="F8" s="9"/>
      <c r="G8" s="9"/>
      <c r="H8" s="9"/>
      <c r="I8" s="9"/>
      <c r="J8" s="9"/>
      <c r="K8" s="9"/>
      <c r="L8" s="9"/>
    </row>
    <row r="9" spans="1:12" ht="14.45" customHeight="1">
      <c r="A9" s="18"/>
      <c r="B9" s="18" t="s">
        <v>57</v>
      </c>
      <c r="C9" s="18"/>
      <c r="E9" s="32">
        <v>293</v>
      </c>
      <c r="F9" s="24">
        <v>-126</v>
      </c>
      <c r="G9" s="32">
        <v>261</v>
      </c>
      <c r="H9" s="128"/>
      <c r="I9" s="32">
        <v>427</v>
      </c>
      <c r="J9" s="119">
        <v>0.05</v>
      </c>
      <c r="K9" s="18"/>
      <c r="L9" s="18"/>
    </row>
    <row r="10" spans="1:12" ht="14.45" customHeight="1">
      <c r="A10" s="18"/>
      <c r="B10" s="18" t="s">
        <v>113</v>
      </c>
      <c r="C10" s="18"/>
      <c r="E10" s="33">
        <v>20.23</v>
      </c>
      <c r="F10" s="23">
        <v>-6.93</v>
      </c>
      <c r="G10" s="33">
        <v>22.94</v>
      </c>
      <c r="H10" s="129"/>
      <c r="I10" s="33">
        <v>36.21</v>
      </c>
      <c r="J10" s="119">
        <v>6.3E-2</v>
      </c>
      <c r="K10" s="18"/>
      <c r="L10" s="18"/>
    </row>
    <row r="11" spans="1:12">
      <c r="B11" s="12" t="s">
        <v>62</v>
      </c>
      <c r="E11" s="33">
        <v>-20.23</v>
      </c>
      <c r="F11" s="23">
        <v>6.93</v>
      </c>
      <c r="G11" s="33">
        <v>-22.94</v>
      </c>
      <c r="H11" s="33"/>
      <c r="I11" s="33">
        <v>-36.21</v>
      </c>
      <c r="J11" s="14"/>
    </row>
    <row r="12" spans="1:12" s="12" customFormat="1" ht="6" customHeight="1">
      <c r="E12" s="33"/>
      <c r="F12" s="23"/>
      <c r="G12" s="33"/>
      <c r="H12" s="130"/>
      <c r="I12" s="33"/>
      <c r="J12" s="14"/>
    </row>
    <row r="13" spans="1:12">
      <c r="A13" s="21" t="s">
        <v>59</v>
      </c>
      <c r="B13" s="9"/>
      <c r="C13" s="9"/>
      <c r="E13" s="34"/>
      <c r="F13" s="9"/>
      <c r="G13" s="34"/>
      <c r="H13" s="131"/>
      <c r="I13" s="34"/>
      <c r="J13" s="34"/>
      <c r="K13" s="19"/>
      <c r="L13" s="19"/>
    </row>
    <row r="14" spans="1:12">
      <c r="A14" s="18"/>
      <c r="B14" s="18" t="s">
        <v>57</v>
      </c>
      <c r="C14" s="18"/>
      <c r="E14" s="32">
        <v>-158</v>
      </c>
      <c r="F14" s="32">
        <v>-492</v>
      </c>
      <c r="G14" s="32">
        <v>-169</v>
      </c>
      <c r="H14" s="128"/>
      <c r="I14" s="32">
        <v>-819</v>
      </c>
      <c r="J14" s="119">
        <v>-2.5000000000000001E-2</v>
      </c>
      <c r="K14" s="19"/>
      <c r="L14" s="19"/>
    </row>
    <row r="15" spans="1:12" ht="14.45" customHeight="1">
      <c r="A15" s="18"/>
      <c r="B15" s="18" t="s">
        <v>113</v>
      </c>
      <c r="C15" s="18"/>
      <c r="E15" s="33">
        <v>18.88</v>
      </c>
      <c r="F15" s="33">
        <v>-8</v>
      </c>
      <c r="G15" s="33">
        <v>22.22</v>
      </c>
      <c r="H15" s="129"/>
      <c r="I15" s="33">
        <v>33.119999999999997</v>
      </c>
      <c r="J15" s="119">
        <v>1.9E-2</v>
      </c>
      <c r="K15" s="19"/>
      <c r="L15" s="19"/>
    </row>
    <row r="16" spans="1:12">
      <c r="B16" s="12" t="s">
        <v>62</v>
      </c>
      <c r="E16" s="33">
        <v>-18.88</v>
      </c>
      <c r="F16" s="33">
        <v>8</v>
      </c>
      <c r="G16" s="33">
        <v>-22.22</v>
      </c>
      <c r="H16" s="33"/>
      <c r="I16" s="33">
        <v>-33.119999999999997</v>
      </c>
      <c r="J16" s="14"/>
    </row>
    <row r="17" spans="1:10" s="12" customFormat="1" ht="9" customHeight="1">
      <c r="E17" s="14"/>
      <c r="G17" s="14"/>
      <c r="H17" s="132"/>
      <c r="I17" s="14"/>
      <c r="J17" s="14"/>
    </row>
    <row r="18" spans="1:10" ht="14.45" customHeight="1">
      <c r="A18" s="21" t="s">
        <v>60</v>
      </c>
      <c r="B18" s="9"/>
      <c r="C18" s="9"/>
      <c r="E18" s="34"/>
      <c r="F18" s="9"/>
      <c r="G18" s="34"/>
      <c r="H18" s="131"/>
      <c r="I18" s="34"/>
      <c r="J18" s="34"/>
    </row>
    <row r="19" spans="1:10" ht="14.45" customHeight="1">
      <c r="A19" s="18"/>
      <c r="B19" s="18" t="s">
        <v>57</v>
      </c>
      <c r="C19" s="18"/>
      <c r="E19" s="32">
        <v>-4</v>
      </c>
      <c r="F19" s="32">
        <v>-19</v>
      </c>
      <c r="G19" s="32">
        <v>19</v>
      </c>
      <c r="H19" s="128"/>
      <c r="I19" s="32">
        <v>-4</v>
      </c>
      <c r="J19" s="119">
        <v>-6.0000000000000001E-3</v>
      </c>
    </row>
    <row r="20" spans="1:10">
      <c r="A20" s="18"/>
      <c r="B20" s="18" t="s">
        <v>113</v>
      </c>
      <c r="C20" s="18"/>
      <c r="E20" s="33">
        <v>-2.36</v>
      </c>
      <c r="F20" s="33">
        <v>-10.42</v>
      </c>
      <c r="G20" s="33">
        <v>9.0500000000000007</v>
      </c>
      <c r="H20" s="129"/>
      <c r="I20" s="33">
        <v>-3.62</v>
      </c>
      <c r="J20" s="119">
        <v>-1.2999999999999999E-2</v>
      </c>
    </row>
    <row r="21" spans="1:10" s="12" customFormat="1">
      <c r="A21" s="18"/>
      <c r="B21" s="12" t="s">
        <v>62</v>
      </c>
      <c r="C21" s="18"/>
      <c r="E21" s="33">
        <v>2.36</v>
      </c>
      <c r="F21" s="33">
        <v>10.42</v>
      </c>
      <c r="G21" s="33">
        <v>-9.0500000000000007</v>
      </c>
      <c r="H21" s="33"/>
      <c r="I21" s="33">
        <v>3.62</v>
      </c>
      <c r="J21" s="120"/>
    </row>
    <row r="22" spans="1:10" ht="9" customHeight="1">
      <c r="A22" s="12"/>
      <c r="B22" s="12"/>
      <c r="C22" s="12"/>
      <c r="E22" s="14"/>
      <c r="F22" s="14"/>
      <c r="G22" s="14"/>
      <c r="H22" s="132"/>
      <c r="I22" s="14"/>
      <c r="J22" s="14"/>
    </row>
    <row r="23" spans="1:10">
      <c r="A23" s="21" t="s">
        <v>61</v>
      </c>
      <c r="B23" s="9"/>
      <c r="C23" s="9"/>
      <c r="E23" s="34"/>
      <c r="F23" s="9"/>
      <c r="G23" s="34"/>
      <c r="H23" s="131"/>
      <c r="I23" s="34"/>
      <c r="J23" s="34"/>
    </row>
    <row r="24" spans="1:10">
      <c r="A24" s="18"/>
      <c r="B24" s="18" t="s">
        <v>57</v>
      </c>
      <c r="C24" s="18"/>
      <c r="E24" s="32">
        <v>-491</v>
      </c>
      <c r="F24" s="24">
        <v>-190</v>
      </c>
      <c r="G24" s="32">
        <v>132</v>
      </c>
      <c r="H24" s="128"/>
      <c r="I24" s="32">
        <v>-546</v>
      </c>
      <c r="J24" s="119">
        <v>-3.9E-2</v>
      </c>
    </row>
    <row r="25" spans="1:10">
      <c r="A25" s="18"/>
      <c r="B25" s="18" t="s">
        <v>113</v>
      </c>
      <c r="C25" s="18"/>
      <c r="E25" s="33">
        <v>-192.49</v>
      </c>
      <c r="F25" s="23">
        <v>-150.53</v>
      </c>
      <c r="G25" s="33">
        <v>164</v>
      </c>
      <c r="H25" s="129"/>
      <c r="I25" s="33">
        <v>-177.49</v>
      </c>
      <c r="J25" s="119">
        <v>-6.2E-2</v>
      </c>
    </row>
    <row r="26" spans="1:10">
      <c r="B26" s="12" t="s">
        <v>62</v>
      </c>
      <c r="E26" s="33">
        <v>192.49</v>
      </c>
      <c r="F26" s="23">
        <v>150.53</v>
      </c>
      <c r="G26" s="33">
        <v>-164</v>
      </c>
      <c r="H26" s="33"/>
      <c r="I26" s="33">
        <v>177.49</v>
      </c>
      <c r="J26" s="14"/>
    </row>
    <row r="28" spans="1:10" hidden="1"/>
    <row r="29" spans="1:10" ht="104.25" customHeight="1">
      <c r="A29" s="230" t="s">
        <v>169</v>
      </c>
      <c r="B29" s="230"/>
      <c r="C29" s="230"/>
      <c r="D29" s="230"/>
      <c r="E29" s="230"/>
      <c r="F29" s="230"/>
      <c r="G29" s="230"/>
      <c r="H29" s="230"/>
      <c r="I29" s="230"/>
      <c r="J29" s="230"/>
    </row>
    <row r="30" spans="1:10">
      <c r="A30" s="17"/>
      <c r="B30" s="17"/>
      <c r="C30" s="17"/>
      <c r="D30" s="17"/>
      <c r="E30" s="17"/>
      <c r="F30" s="17"/>
      <c r="G30" s="17"/>
      <c r="H30" s="17"/>
      <c r="I30" s="17"/>
      <c r="J30" s="17"/>
    </row>
    <row r="31" spans="1:10" ht="14.45" customHeight="1">
      <c r="A31" s="109"/>
      <c r="B31" s="109"/>
      <c r="C31" s="109"/>
      <c r="D31" s="109"/>
      <c r="E31" s="109"/>
      <c r="F31" s="109"/>
      <c r="G31" s="109"/>
      <c r="H31" s="109"/>
      <c r="I31" s="109"/>
      <c r="J31" s="109"/>
    </row>
    <row r="32" spans="1:10">
      <c r="A32" s="109"/>
      <c r="B32" s="109"/>
      <c r="C32" s="109"/>
      <c r="D32" s="109"/>
      <c r="E32" s="109"/>
      <c r="F32" s="109"/>
      <c r="G32" s="109"/>
      <c r="H32" s="109"/>
      <c r="I32" s="109"/>
      <c r="J32" s="109"/>
    </row>
    <row r="33" spans="1:20">
      <c r="A33" s="109"/>
      <c r="B33" s="109"/>
      <c r="C33" s="109"/>
      <c r="D33" s="109"/>
      <c r="E33" s="109"/>
      <c r="F33" s="109"/>
      <c r="G33" s="109"/>
      <c r="H33" s="109"/>
      <c r="I33" s="109"/>
      <c r="J33" s="109"/>
    </row>
    <row r="34" spans="1:20">
      <c r="A34" s="109"/>
      <c r="B34" s="109"/>
      <c r="C34" s="109"/>
      <c r="D34" s="109"/>
      <c r="E34" s="109"/>
      <c r="F34" s="109"/>
      <c r="G34" s="109"/>
      <c r="H34" s="109"/>
      <c r="I34" s="109"/>
      <c r="J34" s="109"/>
    </row>
    <row r="35" spans="1:20">
      <c r="A35" s="109"/>
      <c r="B35" s="109"/>
      <c r="C35" s="109"/>
      <c r="D35" s="109"/>
      <c r="E35" s="109"/>
      <c r="F35" s="109"/>
      <c r="G35" s="109"/>
      <c r="H35" s="109"/>
      <c r="I35" s="109"/>
      <c r="J35" s="109"/>
    </row>
    <row r="36" spans="1:20">
      <c r="A36" s="109"/>
      <c r="B36" s="109"/>
      <c r="C36" s="109"/>
      <c r="D36" s="109"/>
      <c r="E36" s="109"/>
      <c r="F36" s="109"/>
      <c r="G36" s="109"/>
      <c r="H36" s="109"/>
      <c r="I36" s="109"/>
      <c r="J36" s="109"/>
    </row>
    <row r="37" spans="1:20">
      <c r="A37" s="109"/>
      <c r="B37" s="109"/>
      <c r="C37" s="109"/>
      <c r="D37" s="109"/>
      <c r="E37" s="109"/>
      <c r="F37" s="109"/>
      <c r="G37" s="109"/>
      <c r="H37" s="109"/>
      <c r="I37" s="109"/>
      <c r="J37" s="109"/>
    </row>
    <row r="38" spans="1:20">
      <c r="A38" s="109"/>
      <c r="B38" s="109"/>
      <c r="C38" s="109"/>
      <c r="D38" s="109"/>
      <c r="E38" s="109"/>
      <c r="F38" s="109"/>
      <c r="G38" s="109"/>
      <c r="H38" s="109"/>
      <c r="I38" s="109"/>
      <c r="J38" s="109"/>
    </row>
    <row r="39" spans="1:20">
      <c r="A39" s="109"/>
      <c r="B39" s="109"/>
      <c r="C39" s="109"/>
      <c r="D39" s="109"/>
      <c r="E39" s="109"/>
      <c r="F39" s="109"/>
      <c r="G39" s="109"/>
      <c r="H39" s="109"/>
      <c r="I39" s="109"/>
      <c r="J39" s="109"/>
    </row>
    <row r="40" spans="1:20">
      <c r="A40" s="109"/>
      <c r="B40" s="109"/>
      <c r="C40" s="109"/>
      <c r="D40" s="109"/>
      <c r="E40" s="109"/>
      <c r="F40" s="109"/>
      <c r="G40" s="109"/>
      <c r="H40" s="109"/>
      <c r="I40" s="109"/>
      <c r="J40" s="109"/>
    </row>
    <row r="41" spans="1:20">
      <c r="A41" s="109"/>
      <c r="B41" s="109"/>
      <c r="C41" s="109"/>
      <c r="D41" s="109"/>
      <c r="E41" s="109"/>
      <c r="F41" s="109"/>
      <c r="G41" s="109"/>
      <c r="H41" s="109"/>
      <c r="I41" s="109"/>
      <c r="J41" s="109"/>
      <c r="T41" s="31"/>
    </row>
    <row r="42" spans="1:20">
      <c r="A42" s="109"/>
      <c r="B42" s="109"/>
      <c r="C42" s="109"/>
      <c r="D42" s="109"/>
      <c r="E42" s="109"/>
      <c r="F42" s="109"/>
      <c r="G42" s="109"/>
      <c r="H42" s="109"/>
      <c r="I42" s="109"/>
      <c r="J42" s="109"/>
    </row>
    <row r="43" spans="1:20">
      <c r="A43" s="109"/>
      <c r="B43" s="109"/>
      <c r="C43" s="109"/>
      <c r="D43" s="109"/>
      <c r="E43" s="109"/>
      <c r="F43" s="109"/>
      <c r="G43" s="109"/>
      <c r="H43" s="109"/>
      <c r="I43" s="109"/>
      <c r="J43" s="109"/>
    </row>
    <row r="44" spans="1:20">
      <c r="A44" s="109"/>
      <c r="B44" s="109"/>
      <c r="C44" s="109"/>
      <c r="D44" s="109"/>
      <c r="E44" s="109"/>
      <c r="F44" s="109"/>
      <c r="G44" s="109"/>
      <c r="H44" s="109"/>
      <c r="I44" s="109"/>
      <c r="J44" s="109"/>
    </row>
    <row r="45" spans="1:20">
      <c r="A45" s="109"/>
      <c r="B45" s="109"/>
      <c r="C45" s="109"/>
      <c r="D45" s="109"/>
      <c r="E45" s="109"/>
      <c r="F45" s="109"/>
      <c r="G45" s="109"/>
      <c r="H45" s="109"/>
      <c r="I45" s="109"/>
      <c r="J45" s="109"/>
    </row>
    <row r="46" spans="1:20">
      <c r="A46" s="109"/>
      <c r="B46" s="109"/>
      <c r="C46" s="109"/>
      <c r="D46" s="109"/>
      <c r="E46" s="109"/>
      <c r="F46" s="109"/>
      <c r="G46" s="109"/>
      <c r="H46" s="109"/>
      <c r="I46" s="109"/>
      <c r="J46" s="109"/>
    </row>
    <row r="87" spans="18:19">
      <c r="R87" s="31"/>
      <c r="S87" s="31"/>
    </row>
  </sheetData>
  <mergeCells count="4">
    <mergeCell ref="A29:J29"/>
    <mergeCell ref="A6:K6"/>
    <mergeCell ref="A3:J3"/>
    <mergeCell ref="A5:J5"/>
  </mergeCells>
  <printOptions horizontalCentered="1"/>
  <pageMargins left="0.7" right="0.55000000000000004" top="0.81" bottom="0.47" header="0.39" footer="0.3"/>
  <pageSetup firstPageNumber="9" orientation="portrait" useFirstPageNumber="1" r:id="rId1"/>
  <headerFooter scaleWithDoc="0">
    <oddHeader>&amp;C&amp;8Avista Corporation Fixed Cost Adjustment Mechanism
Idaho Jurisdiction
Quarterly Report for 1st
 Quarter 2022</oddHeader>
    <oddFooter>&amp;C&amp;F / &amp;A&amp;RPage &amp;P of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Electric Deferral</vt:lpstr>
      <vt:lpstr>Natural Gas Deferral</vt:lpstr>
      <vt:lpstr>Natural Gas by Schedule</vt:lpstr>
      <vt:lpstr>Accounting Balances</vt:lpstr>
      <vt:lpstr>Notes</vt:lpstr>
      <vt:lpstr>'Accounting Balances'!Print_Area</vt:lpstr>
      <vt:lpstr>'Electric Deferral'!Print_Area</vt:lpstr>
      <vt:lpstr>'Natural Gas Deferral'!Print_Area</vt:lpstr>
      <vt:lpstr>Notes!Print_Area</vt:lpstr>
      <vt:lpstr>'Electric Deferral'!Print_Titles</vt:lpstr>
      <vt:lpstr>'Natural Gas by Schedule'!Print_Titles</vt:lpstr>
      <vt:lpstr>'Natural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2022-05-31T16:09:18Z</dcterms:modified>
</cp:coreProperties>
</file>